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LHh0JRcDpx3X9YW+RIhTpXldongP5POg6pCguDCt2PD8/+Jzf0TXjl4nhN+AzYQwAxA9g1g1IngQkOZOZcSUw==" workbookSaltValue="aXkZm3TNDeZeQ6xxofEj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AC20" i="8" l="1"/>
  <c r="BF18" i="8"/>
  <c r="R20" i="8"/>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9" i="2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BM20" i="26"/>
  <c r="BL21" i="26"/>
  <c r="V10" i="11"/>
  <c r="U15" i="17"/>
  <c r="U19" i="17" s="1"/>
  <c r="X19" i="20"/>
  <c r="BH19" i="16"/>
  <c r="X17" i="16"/>
  <c r="S15" i="14"/>
  <c r="V15" i="14" s="1"/>
  <c r="X9" i="16"/>
  <c r="X20" i="16" s="1"/>
  <c r="BV12" i="16"/>
  <c r="J12" i="12"/>
  <c r="U11" i="17"/>
  <c r="X10" i="16"/>
  <c r="X18" i="16"/>
  <c r="V18" i="20"/>
  <c r="BH17" i="16"/>
  <c r="X19" i="17"/>
  <c r="U12" i="17"/>
  <c r="AP19" i="20"/>
  <c r="X11" i="17"/>
  <c r="X15" i="16"/>
  <c r="X19" i="16" s="1"/>
  <c r="BM17" i="11"/>
  <c r="S18" i="16"/>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AA16" i="26"/>
  <c r="X16" i="17"/>
  <c r="V16" i="20"/>
  <c r="R16" i="14"/>
  <c r="S16" i="14"/>
  <c r="V16" i="14" s="1"/>
  <c r="U16" i="17"/>
  <c r="V16" i="16"/>
  <c r="V16" i="27"/>
  <c r="AO16" i="17"/>
  <c r="V16" i="26"/>
  <c r="S16" i="17"/>
  <c r="X16" i="16"/>
  <c r="L16" i="2"/>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<sst xmlns="http://schemas.openxmlformats.org/spreadsheetml/2006/main" count="2527" uniqueCount="1026">
  <si>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</si>
  <si>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</si>
  <si>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</si>
  <si>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</si>
  <si>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</si>
  <si>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</si>
  <si>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</si>
  <si>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</si>
  <si>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</si>
  <si>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</si>
  <si>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</si>
  <si>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</si>
  <si>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</si>
  <si>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</si>
  <si>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</si>
  <si>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</si>
  <si>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</si>
  <si>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</si>
  <si>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</si>
  <si>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</si>
  <si>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</si>
  <si>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</si>
  <si>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</si>
  <si>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</si>
  <si>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</si>
  <si>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</si>
  <si>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</si>
  <si>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</si>
  <si>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</si>
  <si>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</si>
  <si>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</si>
  <si>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</si>
  <si>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</si>
  <si>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</si>
  <si>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</si>
  <si>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</si>
  <si>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</si>
  <si>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</si>
  <si>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</si>
  <si>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</si>
  <si>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</si>
  <si>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</si>
  <si>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</si>
  <si>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</si>
  <si>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</si>
  <si>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</si>
  <si>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</si>
  <si>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</si>
  <si>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</si>
  <si>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</si>
  <si>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</si>
  <si>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</si>
  <si>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</si>
  <si>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</si>
  <si>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</si>
  <si>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</si>
  <si>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</si>
  <si>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</si>
  <si>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</si>
  <si>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</si>
  <si>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</si>
  <si>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</si>
  <si>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</si>
  <si>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</si>
  <si>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</si>
  <si>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</si>
  <si>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</si>
  <si>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</si>
  <si>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</si>
  <si>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</si>
  <si>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</si>
  <si>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</si>
  <si>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</si>
  <si>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</si>
  <si>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</si>
  <si>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</si>
  <si>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</si>
  <si>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</si>
  <si>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</si>
  <si>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</si>
  <si>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</si>
  <si>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</si>
  <si>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</si>
  <si>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</si>
  <si>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</si>
  <si>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</si>
  <si>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</si>
  <si>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</si>
  <si>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</si>
  <si>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</si>
  <si>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</si>
  <si>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</si>
  <si>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</si>
  <si>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</si>
  <si>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</si>
  <si>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</si>
  <si>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</si>
  <si>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</si>
  <si>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</si>
  <si>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</si>
  <si>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</si>
  <si>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</si>
  <si>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</si>
  <si>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</si>
  <si>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</si>
  <si>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</si>
  <si>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</si>
  <si>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</si>
  <si>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</si>
  <si>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</si>
  <si>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</si>
  <si>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</si>
  <si>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</si>
  <si>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</si>
  <si>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</si>
  <si>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</si>
  <si>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</si>
  <si>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</si>
  <si>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</si>
  <si>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</si>
  <si>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</si>
  <si>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</si>
  <si>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</si>
  <si>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</si>
  <si>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</si>
  <si>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</si>
  <si>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</si>
  <si>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</si>
  <si>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</si>
  <si>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</si>
  <si>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</si>
  <si>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</si>
  <si>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</si>
  <si>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</si>
  <si>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</si>
  <si>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</si>
  <si>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</si>
  <si>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</si>
  <si>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</si>
  <si>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</si>
  <si>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</si>
  <si>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</si>
  <si>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</si>
  <si>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</si>
  <si>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</si>
  <si>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</si>
  <si>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</si>
  <si>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</si>
  <si>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</si>
  <si>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</si>
  <si>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</si>
  <si>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</si>
  <si>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</si>
  <si>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</si>
  <si>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</si>
  <si>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</si>
  <si>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</si>
  <si>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</si>
  <si>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</si>
  <si>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</si>
  <si>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</si>
  <si>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</si>
  <si>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</si>
  <si>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</si>
  <si>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</si>
  <si>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</si>
  <si>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</si>
  <si>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</si>
  <si>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</si>
  <si>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</si>
  <si>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</si>
  <si>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</si>
  <si>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</si>
  <si>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</si>
  <si>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</si>
  <si>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</si>
  <si>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</si>
  <si>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</si>
  <si>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</si>
  <si>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</si>
  <si>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</si>
  <si>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</si>
  <si>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</si>
  <si>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</si>
  <si>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</si>
  <si>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</si>
  <si>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</si>
  <si>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</si>
  <si>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</si>
  <si>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</si>
  <si>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</si>
  <si>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</si>
  <si>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</si>
  <si>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</si>
  <si>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</si>
  <si>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</si>
  <si>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</si>
  <si>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</si>
  <si>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</si>
  <si>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</si>
  <si>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</si>
  <si>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</si>
  <si>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</si>
  <si>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</si>
  <si>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</si>
  <si>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</si>
  <si>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</si>
  <si>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</si>
  <si>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</si>
  <si>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</si>
  <si>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</si>
  <si>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</si>
  <si>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</si>
  <si>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</si>
  <si>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</si>
  <si>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</si>
  <si>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</si>
  <si>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</si>
  <si>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</si>
  <si>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</si>
  <si>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</si>
  <si>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</si>
  <si>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</si>
  <si>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</si>
  <si>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</si>
  <si>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</si>
  <si>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</si>
  <si>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</si>
  <si>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</si>
  <si>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</si>
  <si>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</si>
  <si>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</si>
  <si>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</si>
  <si>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</si>
  <si>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</si>
  <si>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</si>
  <si>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</si>
  <si>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</si>
  <si>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</si>
  <si>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</si>
  <si>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</si>
  <si>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</si>
  <si>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</si>
  <si>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</si>
  <si>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</si>
  <si>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</si>
  <si>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</si>
  <si>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</si>
  <si>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</si>
  <si>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</si>
  <si>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</si>
  <si>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</si>
  <si>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</si>
  <si>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</si>
  <si>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</si>
  <si>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</si>
  <si>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</si>
  <si>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</si>
  <si>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</si>
  <si>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</si>
  <si>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</si>
  <si>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</si>
  <si>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</si>
  <si>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</si>
  <si>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</si>
  <si>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</si>
  <si>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</si>
  <si>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</si>
  <si>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</si>
  <si>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</si>
  <si>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</si>
  <si>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</si>
  <si>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</si>
  <si>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</si>
  <si>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</si>
  <si>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</si>
  <si>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</si>
  <si>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</si>
  <si>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</si>
  <si>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</si>
  <si>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</si>
  <si>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</si>
  <si>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</si>
  <si>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</si>
  <si>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</si>
  <si>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</si>
  <si>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</si>
  <si>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</si>
  <si>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</si>
  <si>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</si>
  <si>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</si>
  <si>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</si>
  <si>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</si>
  <si>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</si>
  <si>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</si>
  <si>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</si>
  <si>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</si>
  <si>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</si>
  <si>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</si>
  <si>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</si>
  <si>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</si>
  <si>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</si>
  <si>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</si>
  <si>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</si>
  <si>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</si>
  <si>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</si>
  <si>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</si>
  <si>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</si>
  <si>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</si>
  <si>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</si>
  <si>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</si>
  <si>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</si>
  <si>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</si>
  <si>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</si>
  <si>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</si>
  <si>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</si>
  <si>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</si>
  <si>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</si>
  <si>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</si>
  <si>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</si>
  <si>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</si>
  <si>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</si>
  <si>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</si>
  <si>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</si>
  <si>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</si>
  <si>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</si>
  <si>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</si>
  <si>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</si>
  <si>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</si>
  <si>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</si>
  <si>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</si>
  <si>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</si>
  <si>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</si>
  <si>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</si>
  <si>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</si>
  <si>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</si>
  <si>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</si>
  <si>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</si>
  <si>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</si>
  <si>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</si>
  <si>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</si>
  <si>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</si>
  <si>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</si>
  <si>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</si>
  <si>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</si>
  <si>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</si>
  <si>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</si>
  <si>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</si>
  <si>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</si>
  <si>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</si>
  <si>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</si>
  <si>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</si>
  <si>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</si>
  <si>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</si>
  <si>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</si>
  <si>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</si>
  <si>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</si>
  <si>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</si>
  <si>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</si>
  <si>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</si>
  <si>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</si>
  <si>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</si>
  <si>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</si>
  <si>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</si>
  <si>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</si>
  <si>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</si>
  <si>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</si>
  <si>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</si>
  <si>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</si>
  <si>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</si>
  <si>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</si>
  <si>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</si>
  <si>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</si>
  <si>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</si>
  <si>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</si>
  <si>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</si>
  <si>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</si>
  <si>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</si>
  <si>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</si>
  <si>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</si>
  <si>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</si>
  <si>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</si>
  <si>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</si>
  <si>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</si>
  <si>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</si>
  <si>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</si>
  <si>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</si>
  <si>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</si>
  <si>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</si>
  <si>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</si>
  <si>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</si>
  <si>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</si>
  <si>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</si>
  <si>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</si>
  <si>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</si>
  <si>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</si>
  <si>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</si>
  <si>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</si>
  <si>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</si>
  <si>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</si>
  <si>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</si>
  <si>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</si>
  <si>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</si>
  <si>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</si>
  <si>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</si>
  <si>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</si>
  <si>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</si>
  <si>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</si>
  <si>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</si>
  <si>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</si>
  <si>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</si>
  <si>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</si>
  <si>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</si>
  <si>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</si>
  <si>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</si>
  <si>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</si>
  <si>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</si>
  <si>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</si>
  <si>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</si>
  <si>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</si>
  <si>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</si>
  <si>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</si>
  <si>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</si>
  <si>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</si>
  <si>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</si>
  <si>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</si>
  <si>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</si>
  <si>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</si>
  <si>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</si>
  <si>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</si>
  <si>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</si>
  <si>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</si>
  <si>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</si>
  <si>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</si>
  <si>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</si>
  <si>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</si>
  <si>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</si>
  <si>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</si>
  <si>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</si>
  <si>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</si>
  <si>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</si>
  <si>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</si>
  <si>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</si>
  <si>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</si>
  <si>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</si>
  <si>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</si>
  <si>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</si>
  <si>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</si>
  <si>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</si>
  <si>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</si>
  <si>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</si>
  <si>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</si>
  <si>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</si>
  <si>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</si>
  <si>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</si>
  <si>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</si>
  <si>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</si>
  <si>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</si>
  <si>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</si>
  <si>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</si>
  <si>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</si>
  <si>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</si>
  <si>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</si>
  <si>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</si>
  <si>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</si>
  <si>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</si>
  <si>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</si>
  <si>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</si>
  <si>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</si>
  <si>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</si>
  <si>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</si>
  <si>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</si>
  <si>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</si>
  <si>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</si>
  <si>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</si>
  <si>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</si>
  <si>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</si>
  <si>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</si>
  <si>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</si>
  <si>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</si>
  <si>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</si>
  <si>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</si>
  <si>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</si>
  <si>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</si>
  <si>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</si>
  <si>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</si>
  <si>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</si>
  <si>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</si>
  <si>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</si>
  <si>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</si>
  <si>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</si>
  <si>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</si>
  <si>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</si>
  <si>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</si>
  <si>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</si>
  <si>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</si>
  <si>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</si>
  <si>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</si>
  <si>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</si>
  <si>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</si>
  <si>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</si>
  <si>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</si>
  <si>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</si>
  <si>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</si>
  <si>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</si>
  <si>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</si>
  <si>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</si>
  <si>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</si>
  <si>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</si>
  <si>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</si>
  <si>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</si>
  <si>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</si>
  <si>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</si>
  <si>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</si>
  <si>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</si>
  <si>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</si>
  <si>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</si>
  <si>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</si>
  <si>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</si>
  <si>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</si>
  <si>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</si>
  <si>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</si>
  <si>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</si>
  <si>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</si>
  <si>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</si>
  <si>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</si>
  <si>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</si>
  <si>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</si>
  <si>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</si>
  <si>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</si>
  <si>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</si>
  <si>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</si>
  <si>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</si>
  <si>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</si>
  <si>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</si>
  <si>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</si>
  <si>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</si>
  <si>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</si>
  <si>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</si>
  <si>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</si>
  <si>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</si>
  <si>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</si>
  <si>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</si>
  <si>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</si>
  <si>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</si>
  <si>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</si>
  <si>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</si>
  <si>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</si>
  <si>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</si>
  <si>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</si>
  <si>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</si>
  <si>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</si>
  <si>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</si>
  <si>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</si>
  <si>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</si>
  <si>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</si>
  <si>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</si>
  <si>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</si>
  <si>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</si>
  <si>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</si>
  <si>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</si>
  <si>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</si>
  <si>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</si>
  <si>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</si>
  <si>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</si>
  <si>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</si>
  <si>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</si>
  <si>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</si>
  <si>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</si>
  <si>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</si>
  <si>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</si>
  <si>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</si>
  <si>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</si>
  <si>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</si>
  <si>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</si>
  <si>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</si>
  <si>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</si>
  <si>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</si>
  <si>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</si>
  <si>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</si>
  <si>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</si>
  <si>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</si>
  <si>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</si>
  <si>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</si>
  <si>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</si>
  <si>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</si>
  <si>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</si>
  <si>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</si>
  <si>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</si>
  <si>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</si>
  <si>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</si>
  <si>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</si>
  <si>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</si>
  <si>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</si>
  <si>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</si>
  <si>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</si>
  <si>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</si>
  <si>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</si>
  <si>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</si>
  <si>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</si>
  <si>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</si>
  <si>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</si>
  <si>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</si>
  <si>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</si>
  <si>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</si>
  <si>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</si>
  <si>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</si>
  <si>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</si>
  <si>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</si>
  <si>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</si>
  <si>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</si>
  <si>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</si>
  <si>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</si>
  <si>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</si>
  <si>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</si>
  <si>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</si>
  <si>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</si>
  <si>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</si>
  <si>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</si>
  <si>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</si>
  <si>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</si>
  <si>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</si>
  <si>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</si>
  <si>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</si>
  <si>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</si>
  <si>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</si>
  <si>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</si>
  <si>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</si>
  <si>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</si>
  <si>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</si>
  <si>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</si>
  <si>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</si>
  <si>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</si>
  <si>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</si>
  <si>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</si>
  <si>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</si>
  <si>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</si>
  <si>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</si>
  <si>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</si>
  <si>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</si>
  <si>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</si>
  <si>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</si>
  <si>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</si>
  <si>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</si>
  <si>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</si>
  <si>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</si>
  <si>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</si>
  <si>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</si>
  <si>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</si>
  <si>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</si>
  <si>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</si>
  <si>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</si>
  <si>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</si>
  <si>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</si>
  <si>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</si>
  <si>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</si>
  <si>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</si>
  <si>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</si>
  <si>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</si>
  <si>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</si>
  <si>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</si>
  <si>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</si>
  <si>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</si>
  <si>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</si>
  <si>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</si>
  <si>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</si>
  <si>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</si>
  <si>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</si>
  <si>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</si>
  <si>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</si>
  <si>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</si>
  <si>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</si>
  <si>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</si>
  <si>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</si>
  <si>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</si>
  <si>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</si>
  <si>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</si>
  <si>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</si>
  <si>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</si>
  <si>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</si>
  <si>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</si>
  <si>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</si>
  <si>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</si>
  <si>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</si>
  <si>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</si>
  <si>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</si>
  <si>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</si>
  <si>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</si>
  <si>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</si>
  <si>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</si>
  <si>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</si>
  <si>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</si>
  <si>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</si>
  <si>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</si>
  <si>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</si>
  <si>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</si>
  <si>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</si>
  <si>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</si>
  <si>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</si>
  <si>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</si>
  <si>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</si>
  <si>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</si>
  <si>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</si>
  <si>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</si>
  <si>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</si>
  <si>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</si>
  <si>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</si>
  <si>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</si>
  <si>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</si>
  <si>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</si>
  <si>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</si>
  <si>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</si>
  <si>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</si>
  <si>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</si>
  <si>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</si>
  <si>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</si>
  <si>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</si>
  <si>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</si>
  <si>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</si>
  <si>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</si>
  <si>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</si>
  <si>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</si>
  <si>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</si>
  <si>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</si>
  <si>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</si>
  <si>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</si>
  <si>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</si>
  <si>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</si>
  <si>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</si>
  <si>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</si>
  <si>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</si>
  <si>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</si>
  <si>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</si>
  <si>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</si>
  <si>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</si>
  <si>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</si>
  <si>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</si>
  <si>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</si>
  <si>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</si>
  <si>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</si>
  <si>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</si>
  <si>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</si>
  <si>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</si>
  <si>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</si>
  <si>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</si>
  <si>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</si>
  <si>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</si>
  <si>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</si>
  <si>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</si>
  <si>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</si>
  <si>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</si>
  <si>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</si>
  <si>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</si>
  <si>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</si>
  <si>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</si>
  <si>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</si>
  <si>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</si>
  <si>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</si>
  <si>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</si>
  <si>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</si>
  <si>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</si>
  <si>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</si>
  <si>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</si>
  <si>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</si>
  <si>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</si>
  <si>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</si>
  <si>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</si>
  <si>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</si>
  <si>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</si>
  <si>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</si>
  <si>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</si>
  <si>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</si>
  <si>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</si>
  <si>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</si>
  <si>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</si>
  <si>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</si>
  <si>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</si>
  <si>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</si>
  <si>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</si>
  <si>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</si>
  <si>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</si>
  <si>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</si>
  <si>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</si>
  <si>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</si>
  <si>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</si>
  <si>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</si>
  <si>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</si>
  <si>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</si>
  <si>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</si>
  <si>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</si>
  <si>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</si>
  <si>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</si>
  <si>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</si>
  <si>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</si>
  <si>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</si>
  <si>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</si>
  <si>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</si>
  <si>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</si>
  <si>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</si>
  <si>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</si>
  <si>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</si>
  <si>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</si>
  <si>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</si>
  <si>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</si>
  <si>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</si>
  <si>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</si>
  <si>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</si>
  <si>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</si>
  <si>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</si>
  <si>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</si>
  <si>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</si>
  <si>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</si>
  <si>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</si>
  <si>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</si>
  <si>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</si>
  <si>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</si>
  <si>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</si>
  <si>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</si>
  <si>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</si>
  <si>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</si>
  <si>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</si>
  <si>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</si>
  <si>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</si>
  <si>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</si>
  <si>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</si>
  <si>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</si>
  <si>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</si>
  <si>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</si>
  <si>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</si>
  <si>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</si>
  <si>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</si>
  <si>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</si>
  <si>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</si>
  <si>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</si>
  <si>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</si>
  <si>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</si>
  <si>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</si>
  <si>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</si>
  <si>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</si>
  <si>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</si>
  <si>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</si>
  <si>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</si>
  <si>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</si>
  <si>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</si>
  <si>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</si>
  <si>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</si>
  <si>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</si>
  <si>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</si>
  <si>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</si>
  <si>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</si>
  <si>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</si>
  <si>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</si>
  <si>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</si>
  <si>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</si>
  <si>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</si>
  <si>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</si>
  <si>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</si>
  <si>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</si>
  <si>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</si>
  <si>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</si>
  <si>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</si>
  <si>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</si>
  <si>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</si>
  <si>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</si>
  <si>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</si>
  <si>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</si>
  <si>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</si>
  <si>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</si>
  <si>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</si>
  <si>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</si>
  <si>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</si>
  <si>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</si>
  <si>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</si>
  <si>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</si>
  <si>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</si>
  <si>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</si>
  <si>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</si>
  <si>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</si>
  <si>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</si>
  <si>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</si>
  <si>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</si>
  <si>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</si>
  <si>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</si>
  <si>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</si>
  <si>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</si>
  <si>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</si>
  <si>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</si>
  <si>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</si>
  <si>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</si>
  <si>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</si>
  <si>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</si>
  <si>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</si>
  <si>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</si>
  <si>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</si>
  <si>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</si>
  <si>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</si>
  <si>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</si>
  <si>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</si>
  <si>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</si>
  <si>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</si>
  <si>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</si>
  <si>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</si>
  <si>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</si>
  <si>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</si>
  <si>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</si>
  <si>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</si>
  <si>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</si>
  <si>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</si>
  <si>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</si>
  <si>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</si>
  <si>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</si>
  <si>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</si>
  <si>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</si>
  <si>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</si>
  <si>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</si>
  <si>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</si>
  <si>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</si>
  <si>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</si>
  <si>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</si>
  <si>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</si>
  <si>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</si>
  <si>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</si>
  <si>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</si>
  <si>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</si>
  <si>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</si>
  <si>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</si>
  <si>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</si>
  <si>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</si>
  <si>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</si>
  <si>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</si>
  <si>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</si>
  <si>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</si>
  <si>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</si>
  <si>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</si>
  <si>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</si>
  <si>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</si>
  <si>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</si>
  <si>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</si>
  <si>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</si>
  <si>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</si>
  <si>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</si>
  <si>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</si>
  <si>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</si>
  <si>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</si>
  <si>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</si>
  <si>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</si>
  <si>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</si>
  <si>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</si>
  <si>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</si>
  <si>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</si>
  <si>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</si>
  <si>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</si>
  <si>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</si>
  <si>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</si>
  <si>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</si>
  <si>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</si>
  <si>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</si>
  <si>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</si>
  <si>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</si>
  <si>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</si>
  <si>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</si>
  <si>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</si>
  <si>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</si>
  <si>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</si>
  <si>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</si>
  <si>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</si>
  <si>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</si>
  <si>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</si>
  <si>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</si>
  <si>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</si>
  <si>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</si>
  <si>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</si>
  <si>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</si>
  <si>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</si>
  <si>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</si>
  <si>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</si>
  <si>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</si>
  <si>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</si>
  <si>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</si>
  <si>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</si>
  <si>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</si>
  <si>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</si>
  <si>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</si>
  <si>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</si>
  <si>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</si>
  <si>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</si>
  <si>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</si>
  <si>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</si>
  <si>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</si>
  <si>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</si>
  <si>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</si>
  <si>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</si>
  <si>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</si>
  <si>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</si>
  <si>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</si>
  <si>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</si>
  <si>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</si>
  <si>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</si>
  <si>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</si>
  <si>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</si>
  <si>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</si>
  <si>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</si>
  <si>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</si>
  <si>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</si>
  <si>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</si>
  <si>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</si>
  <si>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</si>
  <si>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</si>
  <si>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</si>
  <si>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</si>
  <si>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</si>
  <si>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</si>
  <si>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</si>
  <si>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</si>
  <si>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</si>
  <si>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</si>
  <si>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</si>
  <si>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</si>
  <si>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</si>
  <si>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</si>
  <si>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</si>
  <si>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</si>
  <si>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</si>
  <si>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</si>
  <si>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</si>
  <si>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MONTCADA-MONCADA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</si>
</sst>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pYk3+okmxnIjOsPi6p7VZDSZqVOnpP1EtvNIvCOy7wbjXjHy8NzV4CMAbBLhjOEiqh3VlePHjnlNRv/NqQyKw==" saltValue="sDtRQ9Jk7XCftpFUbYA7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44.474251497005994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1097</v>
      </c>
      <c r="D17" s="224">
        <f>IF(ISNUMBER(IF(D_I="SI",Datos!I17,Datos!I17+Datos!AC17)),IF(D_I="SI",Datos!I17,Datos!I17+Datos!AC17)," - ")</f>
        <v>1097</v>
      </c>
      <c r="E17" s="225">
        <f>IF(ISNUMBER(IF(D_I="SI",Datos!J17,Datos!J17+Datos!AD17)),IF(D_I="SI",Datos!J17,Datos!J17+Datos!AD17)," - ")</f>
        <v>616</v>
      </c>
      <c r="F17" s="225">
        <f>IF(ISNUMBER(IF(D_I="SI",Datos!K17,Datos!K17+Datos!AE17)),IF(D_I="SI",Datos!K17,Datos!K17+Datos!AE17)," - ")</f>
        <v>682</v>
      </c>
      <c r="G17" s="1029" t="str">
        <f>IF(Datos!E17&lt;&gt;"",Datos!E17,Datos!D17)</f>
        <v>04</v>
      </c>
      <c r="H17" s="226">
        <f>IF(ISNUMBER(IF(D_I="SI",Datos!L17,Datos!L17+Datos!AF17)),IF(D_I="SI",Datos!L17,Datos!L17+Datos!AF17)," - ")</f>
        <v>1031</v>
      </c>
      <c r="I17" s="1039" t="str">
        <f>IF(ISNUMBER(Datos!AS17/Datos!BM17),Datos!AS17/Datos!BM17," - ")</f>
        <v xml:space="preserve"> - </v>
      </c>
      <c r="J17" s="1040">
        <f>IF(ISNUMBER(Datos!BY17/Datos!CN17),Datos!BY17/Datos!CN17," - ")</f>
        <v>0</v>
      </c>
      <c r="K17" s="229">
        <f t="shared" si="3"/>
        <v>-6.01640838650866E-2</v>
      </c>
      <c r="L17" s="1020">
        <f>IF(ISNUMBER(NºAsuntos!I17/NºAsuntos!G17),(NºAsuntos!I17/NºAsuntos!G17)*11," - ")</f>
        <v>16.629032258064516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v>
      </c>
      <c r="D18" s="224">
        <f>IF(ISNUMBER(IF(D_I="SI",Datos!I18,Datos!I18+Datos!AC18)),IF(D_I="SI",Datos!I18,Datos!I18+Datos!AC18)," - ")</f>
        <v>2</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1</v>
      </c>
      <c r="I18" s="1039" t="str">
        <f>IF(ISNUMBER(Datos!AS18/Datos!BM18),Datos!AS18/Datos!BM18," - ")</f>
        <v xml:space="preserve"> - </v>
      </c>
      <c r="J18" s="1040" t="str">
        <f>IF(ISNUMBER((Datos!BY18+Datos!BZ18)/Datos!CN18),(Datos!BY18+Datos!BZ18)/Datos!CN18," - ")</f>
        <v xml:space="preserve"> - </v>
      </c>
      <c r="K18" s="229">
        <f t="shared" si="3"/>
        <v>-0.5</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1099</v>
      </c>
      <c r="D19" s="1044">
        <f>SUBTOTAL(9,D15:D18)</f>
        <v>1099</v>
      </c>
      <c r="E19" s="1045">
        <f>SUBTOTAL(9,E15:E18)</f>
        <v>616</v>
      </c>
      <c r="F19" s="1045">
        <f>SUBTOTAL(9,F15:F18)</f>
        <v>683</v>
      </c>
      <c r="G19" s="1047" t="str">
        <f ca="1">INDIRECT(CONCATENATE("G",ROW()-1))</f>
        <v>37</v>
      </c>
      <c r="H19" s="1048">
        <f ca="1">SUMIF(G$14:G18,G19,H$14:H18)</f>
        <v>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1099</v>
      </c>
      <c r="D20" s="1066">
        <f>SUBTOTAL(9,D9:D19)</f>
        <v>1099</v>
      </c>
      <c r="E20" s="1067">
        <f>SUBTOTAL(9,E9:E19)</f>
        <v>616</v>
      </c>
      <c r="F20" s="1067">
        <f>SUBTOTAL(9,F9:F19)</f>
        <v>683</v>
      </c>
      <c r="G20" s="1068"/>
      <c r="H20" s="1069">
        <f ca="1">SUMIF(B9:B19,"TOTAL",H9:H19)</f>
        <v>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sbEID70pgeHA/lvoWgtAP1qhDlXaCegGRkFNRVKrV8zAs1e9QwumERgdV4pM1lYzv7MTWlfjADwfOIT/yi23Q==" saltValue="sE4DTembbUzKLWEgCjzYr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Npl0O2Vh7lblgLf1e4YGkM1QCr1XxIYXYBeIetNZAivYyTtbHtPjnK+mHhvqC8WUgXfBUpEag2hjyvJfDf1SA==" saltValue="SQG69TbtYJhUad4tVkK0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2910</v>
      </c>
      <c r="J12" s="182">
        <v>1084</v>
      </c>
      <c r="K12" s="182">
        <v>755</v>
      </c>
      <c r="L12" s="182">
        <v>3239</v>
      </c>
      <c r="M12" s="182">
        <v>215</v>
      </c>
      <c r="N12" s="182">
        <v>354</v>
      </c>
      <c r="O12" s="180">
        <v>302</v>
      </c>
      <c r="P12" s="182">
        <v>237</v>
      </c>
      <c r="Q12" s="182">
        <v>191</v>
      </c>
      <c r="R12" s="182">
        <v>4878</v>
      </c>
      <c r="S12" s="182">
        <v>3057</v>
      </c>
      <c r="T12" s="182">
        <v>1208</v>
      </c>
      <c r="U12" s="182">
        <v>1224</v>
      </c>
      <c r="V12" s="182">
        <v>3041</v>
      </c>
      <c r="W12" s="182">
        <v>320</v>
      </c>
      <c r="X12" s="188">
        <v>646</v>
      </c>
      <c r="Y12" s="190">
        <v>131</v>
      </c>
      <c r="Z12" s="180">
        <v>86</v>
      </c>
      <c r="AA12" s="180">
        <v>80</v>
      </c>
      <c r="AB12" s="180">
        <v>137</v>
      </c>
      <c r="AC12" s="182">
        <v>0</v>
      </c>
      <c r="AD12" s="182">
        <v>0</v>
      </c>
      <c r="AE12" s="182">
        <v>0</v>
      </c>
      <c r="AF12" s="188">
        <v>0</v>
      </c>
      <c r="AG12" s="201">
        <v>122</v>
      </c>
      <c r="AH12" s="182">
        <v>62</v>
      </c>
      <c r="AI12" s="182">
        <v>63</v>
      </c>
      <c r="AJ12" s="202">
        <v>121</v>
      </c>
      <c r="AK12" s="181">
        <v>0</v>
      </c>
      <c r="AL12" s="182">
        <v>0</v>
      </c>
      <c r="AM12" s="182">
        <v>0</v>
      </c>
      <c r="AN12" s="188">
        <v>0</v>
      </c>
      <c r="AO12" s="258">
        <v>4</v>
      </c>
      <c r="AP12" s="154">
        <v>4</v>
      </c>
      <c r="AQ12" s="154">
        <v>4</v>
      </c>
      <c r="AR12" s="153">
        <v>4</v>
      </c>
      <c r="AS12" s="339" t="s">
        <v>766</v>
      </c>
      <c r="AT12" s="202"/>
      <c r="AU12" s="201"/>
      <c r="AV12" s="202"/>
      <c r="AW12" s="201"/>
      <c r="AX12" s="202"/>
      <c r="AY12" s="126">
        <f t="shared" si="1"/>
        <v>3179</v>
      </c>
      <c r="AZ12" s="127">
        <f t="shared" si="1"/>
        <v>1270</v>
      </c>
      <c r="BA12" s="127">
        <f t="shared" si="1"/>
        <v>1287</v>
      </c>
      <c r="BB12" s="127">
        <f t="shared" si="1"/>
        <v>3162</v>
      </c>
      <c r="BC12" s="125">
        <f>IF(ISNUMBER(X12),X12," - ")</f>
        <v>646</v>
      </c>
      <c r="BD12" s="126">
        <f t="shared" si="2"/>
        <v>1.0133858267716536</v>
      </c>
      <c r="BE12" s="127">
        <f t="shared" si="3"/>
        <v>2.4568764568764569</v>
      </c>
      <c r="BF12" s="127">
        <f t="shared" si="4"/>
        <v>0.5019425019425019</v>
      </c>
      <c r="BG12" s="195">
        <f t="shared" si="5"/>
        <v>3.4568764568764569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2910</v>
      </c>
      <c r="J13" s="183">
        <f t="shared" si="6"/>
        <v>1084</v>
      </c>
      <c r="K13" s="183">
        <f t="shared" si="6"/>
        <v>755</v>
      </c>
      <c r="L13" s="183">
        <f t="shared" si="6"/>
        <v>3239</v>
      </c>
      <c r="M13" s="183">
        <f t="shared" si="6"/>
        <v>215</v>
      </c>
      <c r="N13" s="183">
        <f t="shared" si="6"/>
        <v>354</v>
      </c>
      <c r="O13" s="183">
        <f t="shared" si="6"/>
        <v>302</v>
      </c>
      <c r="P13" s="183">
        <f t="shared" si="6"/>
        <v>237</v>
      </c>
      <c r="Q13" s="183">
        <f t="shared" si="6"/>
        <v>191</v>
      </c>
      <c r="R13" s="183">
        <f t="shared" si="6"/>
        <v>4878</v>
      </c>
      <c r="S13" s="183">
        <f t="shared" si="6"/>
        <v>3058</v>
      </c>
      <c r="T13" s="183">
        <f t="shared" si="6"/>
        <v>1208</v>
      </c>
      <c r="U13" s="183">
        <f t="shared" si="6"/>
        <v>1224</v>
      </c>
      <c r="V13" s="183">
        <f t="shared" si="6"/>
        <v>3042</v>
      </c>
      <c r="W13" s="183">
        <f t="shared" si="6"/>
        <v>320</v>
      </c>
      <c r="X13" s="183">
        <f t="shared" si="6"/>
        <v>646</v>
      </c>
      <c r="Y13" s="183">
        <f t="shared" si="6"/>
        <v>131</v>
      </c>
      <c r="Z13" s="183">
        <f t="shared" si="6"/>
        <v>86</v>
      </c>
      <c r="AA13" s="183">
        <f t="shared" si="6"/>
        <v>80</v>
      </c>
      <c r="AB13" s="183">
        <f t="shared" si="6"/>
        <v>137</v>
      </c>
      <c r="AC13" s="183">
        <f t="shared" si="6"/>
        <v>0</v>
      </c>
      <c r="AD13" s="183">
        <f t="shared" si="6"/>
        <v>0</v>
      </c>
      <c r="AE13" s="183">
        <f t="shared" si="6"/>
        <v>0</v>
      </c>
      <c r="AF13" s="183">
        <f>SUBTOTAL(9,AF9:AF12)</f>
        <v>0</v>
      </c>
      <c r="AG13" s="183">
        <f t="shared" ref="AG13:AT13" si="7">SUBTOTAL(9,AG8:AG12)</f>
        <v>122</v>
      </c>
      <c r="AH13" s="183">
        <f t="shared" si="7"/>
        <v>62</v>
      </c>
      <c r="AI13" s="183">
        <f t="shared" si="7"/>
        <v>63</v>
      </c>
      <c r="AJ13" s="183">
        <f t="shared" si="7"/>
        <v>121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3180</v>
      </c>
      <c r="AZ13" s="183">
        <f>SUBTOTAL(9,AZ8:AZ12)</f>
        <v>1270</v>
      </c>
      <c r="BA13" s="183">
        <f>SUBTOTAL(9,BA8:BA12)</f>
        <v>1287</v>
      </c>
      <c r="BB13" s="183">
        <f>SUBTOTAL(9,BB8:BB12)</f>
        <v>3163</v>
      </c>
      <c r="BC13" s="183">
        <f>SUBTOTAL(9,BC8:BC12)</f>
        <v>646</v>
      </c>
      <c r="BD13" s="204">
        <f>IF(ISNUMBER(BA13/AZ13),BA13/AZ13," - ")</f>
        <v>1.0133858267716536</v>
      </c>
      <c r="BE13" s="205">
        <f>IF(ISNUMBER(BB13/BA13),BB13/BA13, " - ")</f>
        <v>2.4576534576534574</v>
      </c>
      <c r="BF13" s="205">
        <f>IF(ISNUMBER(BC13/BA13),BC13/BA13, " - ")</f>
        <v>0.5019425019425019</v>
      </c>
      <c r="BG13" s="206">
        <f>IF(ISNUMBER((AY13+AZ13)/BA13),(AY13+AZ13)/BA13," - ")</f>
        <v>3.4576534576534574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1097</v>
      </c>
      <c r="J17" s="182">
        <v>616</v>
      </c>
      <c r="K17" s="182">
        <v>682</v>
      </c>
      <c r="L17" s="182">
        <v>1031</v>
      </c>
      <c r="M17" s="182">
        <v>85</v>
      </c>
      <c r="N17" s="182">
        <v>398</v>
      </c>
      <c r="O17" s="180">
        <v>0</v>
      </c>
      <c r="P17" s="182">
        <v>7</v>
      </c>
      <c r="Q17" s="182">
        <v>17</v>
      </c>
      <c r="R17" s="182">
        <v>162</v>
      </c>
      <c r="S17" s="182">
        <v>1139</v>
      </c>
      <c r="T17" s="182">
        <v>890</v>
      </c>
      <c r="U17" s="182">
        <v>799</v>
      </c>
      <c r="V17" s="182">
        <v>1230</v>
      </c>
      <c r="W17" s="182">
        <v>110</v>
      </c>
      <c r="X17" s="188">
        <v>499</v>
      </c>
      <c r="Y17" s="201">
        <v>0</v>
      </c>
      <c r="Z17" s="182">
        <v>0</v>
      </c>
      <c r="AA17" s="182">
        <v>0</v>
      </c>
      <c r="AB17" s="182">
        <v>0</v>
      </c>
      <c r="AC17" s="182">
        <v>2</v>
      </c>
      <c r="AD17" s="182">
        <v>2</v>
      </c>
      <c r="AE17" s="182">
        <v>2</v>
      </c>
      <c r="AF17" s="188">
        <v>2</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1139</v>
      </c>
      <c r="AZ17" s="127">
        <f t="shared" si="9"/>
        <v>890</v>
      </c>
      <c r="BA17" s="127">
        <f t="shared" si="9"/>
        <v>799</v>
      </c>
      <c r="BB17" s="127">
        <f t="shared" si="9"/>
        <v>1230</v>
      </c>
      <c r="BC17" s="125">
        <f>IF(ISNUMBER(W17),W17," - ")</f>
        <v>110</v>
      </c>
      <c r="BD17" s="126">
        <f t="shared" ref="BD17" si="16">IF(ISNUMBER(BA17/AZ17),BA17/AZ17," - ")</f>
        <v>0.89775280898876408</v>
      </c>
      <c r="BE17" s="127">
        <f t="shared" ref="BE17" si="17">IF(ISNUMBER(BB17/BA17),BB17/BA17, " - ")</f>
        <v>1.5394242803504381</v>
      </c>
      <c r="BF17" s="127">
        <f t="shared" ref="BF17" si="18">IF(ISNUMBER(BC17/BA17),BC17/BA17, " - ")</f>
        <v>0.13767209011264081</v>
      </c>
      <c r="BG17" s="195">
        <f t="shared" si="10"/>
        <v>2.5394242803504379</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v>
      </c>
      <c r="J18" s="182">
        <v>0</v>
      </c>
      <c r="K18" s="182">
        <v>1</v>
      </c>
      <c r="L18" s="182">
        <v>1</v>
      </c>
      <c r="M18" s="182">
        <v>0</v>
      </c>
      <c r="N18" s="182">
        <v>0</v>
      </c>
      <c r="O18" s="182">
        <v>0</v>
      </c>
      <c r="P18" s="182">
        <v>0</v>
      </c>
      <c r="Q18" s="182">
        <v>0</v>
      </c>
      <c r="R18" s="182">
        <v>0</v>
      </c>
      <c r="S18" s="182">
        <v>19</v>
      </c>
      <c r="T18" s="182">
        <v>0</v>
      </c>
      <c r="U18" s="182">
        <v>13</v>
      </c>
      <c r="V18" s="182">
        <v>6</v>
      </c>
      <c r="W18" s="182">
        <v>0</v>
      </c>
      <c r="X18" s="188">
        <v>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0</v>
      </c>
      <c r="BA18" s="129">
        <f t="shared" si="19"/>
        <v>13</v>
      </c>
      <c r="BB18" s="129">
        <f t="shared" si="19"/>
        <v>6</v>
      </c>
      <c r="BC18" s="125">
        <f>IF(ISNUMBER(W18),W18," - ")</f>
        <v>0</v>
      </c>
      <c r="BD18" s="126" t="str">
        <f>IF(ISNUMBER(BA18/AZ18),BA18/AZ18," - ")</f>
        <v xml:space="preserve"> - </v>
      </c>
      <c r="BE18" s="127">
        <f>IF(ISNUMBER(BB18/BA18),BB18/BA18, " - ")</f>
        <v>0.46153846153846156</v>
      </c>
      <c r="BF18" s="127">
        <f>IF(ISNUMBER(BC18/BA18),BC18/BA18, " - ")</f>
        <v>0</v>
      </c>
      <c r="BG18" s="195">
        <f>IF(ISNUMBER((AY18+AZ18)/BA18),(AY18+AZ18)/BA18," - ")</f>
        <v>1.4615384615384615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1099</v>
      </c>
      <c r="J19" s="183">
        <f t="shared" si="20"/>
        <v>616</v>
      </c>
      <c r="K19" s="183">
        <f t="shared" si="20"/>
        <v>683</v>
      </c>
      <c r="L19" s="183">
        <f t="shared" si="20"/>
        <v>1032</v>
      </c>
      <c r="M19" s="183">
        <f t="shared" si="20"/>
        <v>85</v>
      </c>
      <c r="N19" s="183">
        <f t="shared" si="20"/>
        <v>398</v>
      </c>
      <c r="O19" s="183">
        <f t="shared" si="20"/>
        <v>0</v>
      </c>
      <c r="P19" s="183">
        <f t="shared" si="20"/>
        <v>7</v>
      </c>
      <c r="Q19" s="183">
        <f t="shared" si="20"/>
        <v>17</v>
      </c>
      <c r="R19" s="183">
        <f t="shared" si="20"/>
        <v>162</v>
      </c>
      <c r="S19" s="183">
        <f t="shared" si="20"/>
        <v>1158</v>
      </c>
      <c r="T19" s="183">
        <f t="shared" si="20"/>
        <v>890</v>
      </c>
      <c r="U19" s="183">
        <f t="shared" si="20"/>
        <v>812</v>
      </c>
      <c r="V19" s="183">
        <f t="shared" si="20"/>
        <v>1236</v>
      </c>
      <c r="W19" s="183">
        <f t="shared" si="20"/>
        <v>110</v>
      </c>
      <c r="X19" s="183">
        <f t="shared" si="20"/>
        <v>508</v>
      </c>
      <c r="Y19" s="183">
        <f t="shared" si="20"/>
        <v>0</v>
      </c>
      <c r="Z19" s="183">
        <f t="shared" si="20"/>
        <v>0</v>
      </c>
      <c r="AA19" s="183">
        <f t="shared" si="20"/>
        <v>0</v>
      </c>
      <c r="AB19" s="183">
        <f t="shared" si="20"/>
        <v>0</v>
      </c>
      <c r="AC19" s="183">
        <f t="shared" si="20"/>
        <v>2</v>
      </c>
      <c r="AD19" s="183">
        <f t="shared" si="20"/>
        <v>2</v>
      </c>
      <c r="AE19" s="183">
        <f t="shared" si="20"/>
        <v>2</v>
      </c>
      <c r="AF19" s="183">
        <f t="shared" si="20"/>
        <v>2</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1158</v>
      </c>
      <c r="AZ19" s="183">
        <f>SUBTOTAL(9,AZ14:AZ18)</f>
        <v>890</v>
      </c>
      <c r="BA19" s="183">
        <f>SUBTOTAL(9,BA14:BA18)</f>
        <v>812</v>
      </c>
      <c r="BB19" s="183">
        <f>SUBTOTAL(9,BB14:BB18)</f>
        <v>1236</v>
      </c>
      <c r="BC19" s="183">
        <f>SUBTOTAL(9,BC14:BC18)</f>
        <v>110</v>
      </c>
      <c r="BD19" s="204">
        <f>IF(ISNUMBER(BA19/AZ19),BA19/AZ19," - ")</f>
        <v>0.91235955056179774</v>
      </c>
      <c r="BE19" s="205">
        <f>IF(ISNUMBER(BB19/BA19),BB19/BA19, " - ")</f>
        <v>1.5221674876847291</v>
      </c>
      <c r="BF19" s="205">
        <f>IF(ISNUMBER(BC19/BA19),BC19/BA19, " - ")</f>
        <v>0.1354679802955665</v>
      </c>
      <c r="BG19" s="206">
        <f>IF(ISNUMBER((AY19+AZ19)/BA19),(AY19+AZ19)/BA19," - ")</f>
        <v>2.5221674876847291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4009</v>
      </c>
      <c r="J20" s="134">
        <f t="shared" si="23"/>
        <v>1700</v>
      </c>
      <c r="K20" s="134">
        <f t="shared" si="23"/>
        <v>1438</v>
      </c>
      <c r="L20" s="134">
        <f t="shared" si="23"/>
        <v>4271</v>
      </c>
      <c r="M20" s="134">
        <f t="shared" si="23"/>
        <v>300</v>
      </c>
      <c r="N20" s="134">
        <f t="shared" si="23"/>
        <v>752</v>
      </c>
      <c r="O20" s="134">
        <f t="shared" si="23"/>
        <v>302</v>
      </c>
      <c r="P20" s="134">
        <f t="shared" si="23"/>
        <v>244</v>
      </c>
      <c r="Q20" s="134">
        <f t="shared" si="23"/>
        <v>208</v>
      </c>
      <c r="R20" s="134">
        <f t="shared" si="23"/>
        <v>5040</v>
      </c>
      <c r="S20" s="134">
        <f t="shared" si="23"/>
        <v>4216</v>
      </c>
      <c r="T20" s="134">
        <f t="shared" si="23"/>
        <v>2098</v>
      </c>
      <c r="U20" s="134">
        <f t="shared" si="23"/>
        <v>2036</v>
      </c>
      <c r="V20" s="134">
        <f t="shared" si="23"/>
        <v>4278</v>
      </c>
      <c r="W20" s="134">
        <f t="shared" si="23"/>
        <v>430</v>
      </c>
      <c r="X20" s="134">
        <f t="shared" si="23"/>
        <v>1154</v>
      </c>
      <c r="Y20" s="134">
        <f t="shared" si="23"/>
        <v>131</v>
      </c>
      <c r="Z20" s="134">
        <f t="shared" si="23"/>
        <v>86</v>
      </c>
      <c r="AA20" s="134">
        <f t="shared" si="23"/>
        <v>80</v>
      </c>
      <c r="AB20" s="134">
        <f t="shared" si="23"/>
        <v>137</v>
      </c>
      <c r="AC20" s="134">
        <f t="shared" si="23"/>
        <v>2</v>
      </c>
      <c r="AD20" s="134">
        <f t="shared" si="23"/>
        <v>2</v>
      </c>
      <c r="AE20" s="134">
        <f t="shared" si="23"/>
        <v>2</v>
      </c>
      <c r="AF20" s="134">
        <f t="shared" si="23"/>
        <v>2</v>
      </c>
      <c r="AG20" s="134">
        <f t="shared" si="23"/>
        <v>122</v>
      </c>
      <c r="AH20" s="134">
        <f t="shared" si="23"/>
        <v>62</v>
      </c>
      <c r="AI20" s="134">
        <f t="shared" si="23"/>
        <v>63</v>
      </c>
      <c r="AJ20" s="134">
        <f t="shared" si="23"/>
        <v>121</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4338</v>
      </c>
      <c r="AZ20" s="134">
        <f>SUBTOTAL(9,AZ9:AZ19)</f>
        <v>2160</v>
      </c>
      <c r="BA20" s="134">
        <f>SUBTOTAL(9,BA9:BA19)</f>
        <v>2099</v>
      </c>
      <c r="BB20" s="134">
        <f>SUBTOTAL(9,BB9:BB19)</f>
        <v>4399</v>
      </c>
      <c r="BC20" s="135">
        <f>SUBTOTAL(9,BC9:BC19)</f>
        <v>756</v>
      </c>
      <c r="BD20" s="212">
        <f>IF(ISNUMBER(BA20/AZ20),BA20/AZ20," - ")</f>
        <v>0.97175925925925921</v>
      </c>
      <c r="BE20" s="209">
        <f>IF(ISNUMBER(BB20/BA20),BB20/BA20, " - ")</f>
        <v>2.0957598856598381</v>
      </c>
      <c r="BF20" s="209">
        <f>IF(ISNUMBER(BC20/BA20),BC20/BA20, " - ")</f>
        <v>0.36017151024297284</v>
      </c>
      <c r="BG20" s="135">
        <f>IF(ISNUMBER((AY20+AZ20)/BA20),(AY20+AZ20)/BA20," - ")</f>
        <v>3.0957598856598381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rhp+wDokLu/U4n/28cstaOFZrbN82ho8teYIInFMMhBOuZm3Ch7kdcKZvokaCMg6zdafBSo0hwUrSKdBWESEg==" saltValue="vnuezdAtkPUvsdadCtPW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KeQ1enEzOb4O8Mm5MGJdjibRy8MS+V9xfp/H1UlS/+TnZUIzOcSsfqdSFpGJUk5rRMxaIokhctu+fH1euUV6g==" saltValue="VwU8lCTBak5A2s3gce/r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MONTCADA-MONCADA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86</v>
      </c>
      <c r="O12" s="1247"/>
      <c r="P12" s="1247"/>
      <c r="Q12" s="1215">
        <f>IF(ISNUMBER(Datos!P12),Datos!P12,0)</f>
        <v>237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137</v>
      </c>
      <c r="AI12" s="1247" t="str">
        <f>IF(ISNUMBER(Datos!CD12),Datos!CD12,"-")</f>
        <v>-</v>
      </c>
      <c r="AJ12" s="1247" t="str">
        <f>IF(ISNUMBER(Datos!EN12),Datos!EN12," - ")</f>
        <v xml:space="preserve"> - </v>
      </c>
      <c r="AK12" s="1247"/>
      <c r="AL12" s="1258"/>
      <c r="AM12" s="1248">
        <f>IF(ISNUMBER(Datos!R12),Datos!R12," - ")</f>
        <v>4878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215</v>
      </c>
      <c r="BD12" s="1218">
        <f>IF(ISNUMBER(Datos!N12),Datos!N12," - ")</f>
        <v>354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0.71367521367521369</v>
      </c>
      <c r="BH12" s="1226">
        <f>IF(ISNUMBER(((IF(J_V="SI",Datos!L12/Datos!K12,(Datos!L12+Datos!AB12)/(Datos!K12+Datos!AA12)))*11)/factor_trimestre),((IF(J_V="SI",Datos!L12/Datos!K12,(Datos!L12+Datos!AB12)/(Datos!K12+Datos!AA12)))*11)/factor_trimestre," - ")</f>
        <v>12.129341317365272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9.5198675496688742E-3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86</v>
      </c>
      <c r="O13" s="1393">
        <f t="shared" si="0"/>
        <v>0</v>
      </c>
      <c r="P13" s="1393">
        <f t="shared" si="0"/>
        <v>0</v>
      </c>
      <c r="Q13" s="1392">
        <f t="shared" si="0"/>
        <v>237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191</v>
      </c>
      <c r="AD13" s="1392">
        <f t="shared" si="1"/>
        <v>0</v>
      </c>
      <c r="AE13" s="1392">
        <f t="shared" si="1"/>
        <v>0</v>
      </c>
      <c r="AF13" s="1392">
        <f t="shared" si="1"/>
        <v>0</v>
      </c>
      <c r="AG13" s="1392">
        <f t="shared" si="1"/>
        <v>0</v>
      </c>
      <c r="AH13" s="1392">
        <f t="shared" si="1"/>
        <v>137</v>
      </c>
      <c r="AI13" s="1392">
        <f t="shared" si="1"/>
        <v>0</v>
      </c>
      <c r="AJ13" s="1392">
        <f t="shared" si="1"/>
        <v>0</v>
      </c>
      <c r="AK13" s="1392">
        <f t="shared" si="1"/>
        <v>0</v>
      </c>
      <c r="AL13" s="1392">
        <f t="shared" si="1"/>
        <v>0</v>
      </c>
      <c r="AM13" s="1392">
        <f t="shared" si="1"/>
        <v>4878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215</v>
      </c>
      <c r="BD13" s="1392">
        <f t="shared" si="1"/>
        <v>354</v>
      </c>
      <c r="BE13" s="1392">
        <f t="shared" si="1"/>
        <v>0</v>
      </c>
      <c r="BF13" s="1392">
        <f t="shared" si="1"/>
        <v>0</v>
      </c>
      <c r="BG13" s="1392">
        <f>IF(ISNUMBER(Datos!K13/Datos!J13),Datos!K13/Datos!J13," - ")</f>
        <v>0.69649446494464939</v>
      </c>
      <c r="BH13" s="1396">
        <f>IF(ISNUMBER(((Datos!L13/Datos!K13)*11)/factor_trimestre),((Datos!L13/Datos!K13)*11)/factor_trimestre," - ")</f>
        <v>12.87019867549669</v>
      </c>
      <c r="BI13" s="1392">
        <f>IF(ISNUMBER('Resol  Asuntos'!D13/NºAsuntos!G13),'Resol  Asuntos'!D13/NºAsuntos!G13," - ")</f>
        <v>0.25748502994011974</v>
      </c>
      <c r="BJ13" s="1392" t="str">
        <f>IF(ISNUMBER(Datos!CI13/Datos!CJ13),Datos!CI13/Datos!CJ13," - ")</f>
        <v xml:space="preserve"> - </v>
      </c>
      <c r="BK13" s="1392">
        <f>SUBTOTAL(9,BK8:BK12)</f>
        <v>0</v>
      </c>
      <c r="BL13" s="1392" t="str">
        <f>IF(ISNUMBER((I13-AB13+L13)/(F13)),(I13-AB13+L13)/(F13)," - ")</f>
        <v xml:space="preserve"> - </v>
      </c>
      <c r="BM13" s="1397">
        <f>SUBTOTAL(9,BM9:BM12)</f>
        <v>9.5198675496688742E-3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1097</v>
      </c>
      <c r="G17" s="1335">
        <f>IF(ISNUMBER(IF(D_I="SI",Datos!I17,Datos!I17+Datos!AC17)),IF(D_I="SI",Datos!I17,Datos!I17+Datos!AC17)," - ")</f>
        <v>1097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682</v>
      </c>
      <c r="AC17" s="1215">
        <f>IF(ISNUMBER(Datos!Q17),Datos!Q17," - ")</f>
        <v>17</v>
      </c>
      <c r="AD17" s="1247"/>
      <c r="AE17" s="1262"/>
      <c r="AF17" s="1333">
        <f>IF(ISNUMBER(IF(D_I="SI",Datos!L17,Datos!L17+Datos!AF17)),IF(D_I="SI",Datos!L17,Datos!L17+Datos!AF17)," - ")</f>
        <v>1031</v>
      </c>
      <c r="AG17" s="1247"/>
      <c r="AH17" s="1247"/>
      <c r="AI17" s="1247"/>
      <c r="AJ17" s="1247"/>
      <c r="AK17" s="1247"/>
      <c r="AL17" s="1258"/>
      <c r="AM17" s="1248">
        <f>IF(ISNUMBER(Datos!R17),Datos!R17," - ")</f>
        <v>162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85</v>
      </c>
      <c r="BD17" s="1218">
        <f>IF(ISNUMBER(Datos!N17),Datos!N17," - ")</f>
        <v>398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1.1071428571428572</v>
      </c>
      <c r="BH17" s="1226">
        <f>IF(ISNUMBER(((IF(D_I="SI",Datos!L17/Datos!K17,(Datos!L17+Datos!AF17)/(Datos!K17+Datos!AE17)))*11)/factor_trimestre),((IF(D_I="SI",Datos!L17/Datos!K17,(Datos!L17+Datos!AF17)/(Datos!K17+Datos!AE17)))*11)/factor_trimestre," - ")</f>
        <v>4.5351906158357771</v>
      </c>
      <c r="BI17" s="1223">
        <f>IF(ISNUMBER('Resol  Asuntos'!D17/NºAsuntos!G17),'Resol  Asuntos'!D17/NºAsuntos!G17," - ")</f>
        <v>0.12463343108504399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1097</v>
      </c>
      <c r="G19" s="1391">
        <f>SUBTOTAL(9,G15:G18)</f>
        <v>1099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683</v>
      </c>
      <c r="AC19" s="1392">
        <f t="shared" si="4"/>
        <v>17</v>
      </c>
      <c r="AD19" s="1392">
        <f t="shared" si="4"/>
        <v>0</v>
      </c>
      <c r="AE19" s="1392">
        <f t="shared" si="4"/>
        <v>0</v>
      </c>
      <c r="AF19" s="1392">
        <f t="shared" si="4"/>
        <v>1032</v>
      </c>
      <c r="AG19" s="1392">
        <f t="shared" si="4"/>
        <v>0</v>
      </c>
      <c r="AH19" s="1392">
        <f t="shared" si="4"/>
        <v>0</v>
      </c>
      <c r="AI19" s="1392">
        <f t="shared" si="4"/>
        <v>0</v>
      </c>
      <c r="AJ19" s="1392">
        <f t="shared" si="4"/>
        <v>0</v>
      </c>
      <c r="AK19" s="1392">
        <f t="shared" si="4"/>
        <v>0</v>
      </c>
      <c r="AL19" s="1392">
        <f t="shared" si="4"/>
        <v>0</v>
      </c>
      <c r="AM19" s="1392">
        <f t="shared" si="4"/>
        <v>162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85</v>
      </c>
      <c r="BD19" s="1392">
        <f t="shared" si="4"/>
        <v>398</v>
      </c>
      <c r="BE19" s="1392">
        <f t="shared" si="4"/>
        <v>0</v>
      </c>
      <c r="BF19" s="1392">
        <f t="shared" si="4"/>
        <v>0</v>
      </c>
      <c r="BG19" s="1392">
        <f>IF(ISNUMBER(Datos!K19/Datos!J19),Datos!K19/Datos!J19," - ")</f>
        <v>1.1087662337662338</v>
      </c>
      <c r="BH19" s="1396">
        <f>IF(ISNUMBER(((Datos!L19/Datos!K19)*11)/factor_trimestre),((Datos!L19/Datos!K19)*11)/factor_trimestre," - ")</f>
        <v>4.5329428989751097</v>
      </c>
      <c r="BI19" s="1392">
        <f>SUBTOTAL(9,BI15:BI18)</f>
        <v>0.12463343108504399</v>
      </c>
      <c r="BJ19" s="1392">
        <f>SUBTOTAL(9,BJ15:BJ18)</f>
        <v>0</v>
      </c>
      <c r="BK19" s="1392">
        <f>SUBTOTAL(9,BK15:BK18)</f>
        <v>0</v>
      </c>
      <c r="BL19" s="1392">
        <f>IF(ISNUMBER((I19-AB19+L19)/(F19)),(I19-AB19+L19)/(F19)," - ")</f>
        <v>-0.62260711030082039</v>
      </c>
      <c r="BM19" s="1398">
        <f>IF(ISNUMBER((Datos!P19-Datos!Q19)/(Datos!R19-Datos!P19+Datos!Q19)),(Datos!P19-Datos!Q19)/(Datos!R19-Datos!P19+Datos!Q19)," - ")</f>
        <v>-5.8139534883720929E-2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1097</v>
      </c>
      <c r="G20" s="1367">
        <f t="shared" si="6"/>
        <v>1099</v>
      </c>
      <c r="H20" s="1369">
        <f t="shared" si="6"/>
        <v>0</v>
      </c>
      <c r="I20" s="1367">
        <f t="shared" si="6"/>
        <v>0</v>
      </c>
      <c r="J20" s="1369">
        <f t="shared" si="6"/>
        <v>0</v>
      </c>
      <c r="K20" s="1369">
        <f t="shared" si="6"/>
        <v>0</v>
      </c>
      <c r="L20" s="1386">
        <f t="shared" si="6"/>
        <v>0</v>
      </c>
      <c r="M20" s="1386">
        <f t="shared" si="6"/>
        <v>0</v>
      </c>
      <c r="N20" s="1386">
        <f t="shared" si="6"/>
        <v>86</v>
      </c>
      <c r="O20" s="1386">
        <f t="shared" si="6"/>
        <v>0</v>
      </c>
      <c r="P20" s="1386">
        <f t="shared" si="6"/>
        <v>0</v>
      </c>
      <c r="Q20" s="1369">
        <f t="shared" si="6"/>
        <v>244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683</v>
      </c>
      <c r="AC20" s="1368">
        <f t="shared" si="7"/>
        <v>208</v>
      </c>
      <c r="AD20" s="1368">
        <f t="shared" si="7"/>
        <v>0</v>
      </c>
      <c r="AE20" s="1368">
        <f t="shared" si="7"/>
        <v>0</v>
      </c>
      <c r="AF20" s="1371">
        <f t="shared" si="7"/>
        <v>1032</v>
      </c>
      <c r="AG20" s="1371">
        <f t="shared" si="7"/>
        <v>0</v>
      </c>
      <c r="AH20" s="1371">
        <f t="shared" si="7"/>
        <v>137</v>
      </c>
      <c r="AI20" s="1371">
        <f t="shared" si="7"/>
        <v>0</v>
      </c>
      <c r="AJ20" s="1368">
        <f t="shared" si="7"/>
        <v>0</v>
      </c>
      <c r="AK20" s="1371">
        <f t="shared" si="7"/>
        <v>0</v>
      </c>
      <c r="AL20" s="1371">
        <f t="shared" si="7"/>
        <v>0</v>
      </c>
      <c r="AM20" s="1371">
        <f t="shared" si="7"/>
        <v>5040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300</v>
      </c>
      <c r="BD20" s="1367">
        <f t="shared" si="7"/>
        <v>752</v>
      </c>
      <c r="BE20" s="1367">
        <f t="shared" si="7"/>
        <v>0</v>
      </c>
      <c r="BF20" s="1373">
        <f t="shared" si="7"/>
        <v>0</v>
      </c>
      <c r="BG20" s="1404">
        <f>IF(ISNUMBER(Datos!K20/Datos!J20),Datos!K20/Datos!J20," - ")</f>
        <v>0.84588235294117642</v>
      </c>
      <c r="BH20" s="1404">
        <f>IF(ISNUMBER(((Datos!L20/Datos!K20)*11)/factor_trimestre),((Datos!L20/Datos!K20)*11)/factor_trimestre," - ")</f>
        <v>8.9102920723226706</v>
      </c>
      <c r="BI20" s="1362">
        <f>IF(ISNUMBER(Datos!J20/Datos!I20),Datos!J20/Datos!I20," - ")</f>
        <v>0.42404589673235221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-0.62260711030082039</v>
      </c>
      <c r="BM20" s="1387">
        <f>IF(ISNUMBER((Datos!P20-Datos!Q20+R20)/(Datos!R20-Datos!P20+Datos!Q20-R20)),(Datos!P20-Datos!Q20+R20)/(Datos!R20-Datos!P20+Datos!Q20-R20)," - ")</f>
        <v>7.1942446043165471E-3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439.6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633.35324530101946</v>
      </c>
      <c r="G22" s="1299">
        <f>IF(ISNUMBER(STDEV(G8:G19)),STDEV(G8:G19),"-")</f>
        <v>601.03519031750545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373.63846161764451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96.850400102426008</v>
      </c>
      <c r="BD22" s="1298"/>
      <c r="BE22" s="1298">
        <f>IF(ISNUMBER(STDEV(BE8:BE19)),STDEV(BE8:BE19),"-")</f>
        <v>0</v>
      </c>
      <c r="BF22" s="1303">
        <f>IF(ISNUMBER(STDEV(BF8:BF19)),STDEV(BF8:BF19),"-")</f>
        <v>0</v>
      </c>
      <c r="BG22" s="1360">
        <f>IF(ISNUMBER(STDEV(BG8:BG19)),STDEV(BG8:BG19),"-")</f>
        <v>0.23270360752707822</v>
      </c>
      <c r="BH22" s="1361">
        <f>IF(ISNUMBER(STDEV(BH8:BH19)),STDEV(BH8:BH19),"-")</f>
        <v>4.6924400937291804</v>
      </c>
      <c r="BI22" s="1224">
        <f>IF(ISNUMBER(STDEV(BI8:BI19)),STDEV(BI8:BI19),"-")</f>
        <v>0.10514459075008137</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NKzbRs278OFrV22RfidPizm6R0kaZ3tUPoDWP54qRgGKuNE13p/rmag1HoHu0tqSn14Rr5zIS7wH62YWwUtNQ==" saltValue="oxGGsiYiIaN8IQqeyvGoD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MONTCADA-MONCADA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191</v>
      </c>
      <c r="AA12" s="331" t="str">
        <f>IF(ISNUMBER(IF(J_V="SI",Datos!L12,Datos!L12+Datos!AB12)-IF(Monitorios="SI",Datos!CD12,0)),
                          IF(J_V="SI",Datos!L12,Datos!L12+Datos!AB12)-IF(Monitorios="SI",Datos!CD12,0),
                          " - ")</f>
        <v xml:space="preserve"> - </v>
      </c>
      <c r="AB12" s="333"/>
      <c r="AC12" s="333"/>
      <c r="AD12" s="483"/>
      <c r="AE12" s="483">
        <f>IF(ISNUMBER(Datos!R12),Datos!R12," - ")</f>
        <v>4878</v>
      </c>
      <c r="AF12" s="228" t="str">
        <f>IF(ISNUMBER(Datos!BV12),Datos!BV12," - ")</f>
        <v xml:space="preserve"> - </v>
      </c>
      <c r="AG12" s="224" t="str">
        <f>IF(ISNUMBER(Datos!DV12),Datos!DV12," - ")</f>
        <v xml:space="preserve"> - </v>
      </c>
      <c r="AH12" s="297"/>
      <c r="AI12" s="226"/>
      <c r="AJ12" s="224">
        <f>IF(ISNUMBER(Datos!M12),Datos!M12," - ")</f>
        <v>215</v>
      </c>
      <c r="AK12" s="228">
        <f>IF(ISNUMBER(Datos!N12),Datos!N12," - ")</f>
        <v>354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12.129341317365272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9.5198675496688742E-3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191</v>
      </c>
      <c r="AA13" s="897">
        <f t="shared" si="2"/>
        <v>0</v>
      </c>
      <c r="AB13" s="897">
        <f t="shared" si="2"/>
        <v>0</v>
      </c>
      <c r="AC13" s="897">
        <f t="shared" si="2"/>
        <v>0</v>
      </c>
      <c r="AD13" s="897">
        <f t="shared" si="2"/>
        <v>0</v>
      </c>
      <c r="AE13" s="897">
        <f t="shared" si="2"/>
        <v>4878</v>
      </c>
      <c r="AF13" s="905">
        <f t="shared" si="2"/>
        <v>0</v>
      </c>
      <c r="AG13" s="905">
        <f t="shared" si="2"/>
        <v>0</v>
      </c>
      <c r="AH13" s="905">
        <f t="shared" si="2"/>
        <v>0</v>
      </c>
      <c r="AI13" s="905">
        <f t="shared" si="2"/>
        <v>0</v>
      </c>
      <c r="AJ13" s="905">
        <f t="shared" si="2"/>
        <v>215</v>
      </c>
      <c r="AK13" s="905">
        <f t="shared" si="2"/>
        <v>354</v>
      </c>
      <c r="AL13" s="905">
        <f t="shared" si="2"/>
        <v>0</v>
      </c>
      <c r="AM13" s="905">
        <f t="shared" si="2"/>
        <v>0</v>
      </c>
      <c r="AN13" s="905">
        <f t="shared" si="2"/>
        <v>0</v>
      </c>
      <c r="AO13" s="901">
        <f>IF(ISNUMBER(((NºAsuntos!I13/NºAsuntos!G13)*11)/factor_trimestre),((NºAsuntos!I13/NºAsuntos!G13)*11)/factor_trimestre," - ")</f>
        <v>12.129341317365272</v>
      </c>
      <c r="AP13" s="907" t="str">
        <f>IF(ISNUMBER(Datos!CI13/Datos!CJ13),Datos!CI13/Datos!CJ13," - ")</f>
        <v xml:space="preserve"> - </v>
      </c>
      <c r="AQ13" s="923">
        <f t="shared" ref="AQ13:AV13" si="3">SUBTOTAL(9,AQ9:AQ12)</f>
        <v>0</v>
      </c>
      <c r="AR13" s="923">
        <f t="shared" si="3"/>
        <v>9.5198675496688742E-3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1097</v>
      </c>
      <c r="G17" s="224">
        <f>IF(ISNUMBER(IF(D_I="SI",Datos!I17,Datos!I17+Datos!AC17)),IF(D_I="SI",Datos!I17,Datos!I17+Datos!AC17)," - ")</f>
        <v>1097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682</v>
      </c>
      <c r="Z17" s="617">
        <f>IF(ISNUMBER(Datos!Q17),Datos!Q17," - ")</f>
        <v>17</v>
      </c>
      <c r="AA17" s="331">
        <f>IF(ISNUMBER(IF(D_I="SI",Datos!L17,Datos!L17+Datos!AF17)),IF(D_I="SI",Datos!L17,Datos!L17+Datos!AF17)," - ")</f>
        <v>1031</v>
      </c>
      <c r="AB17" s="333"/>
      <c r="AC17" s="333"/>
      <c r="AD17" s="483"/>
      <c r="AE17" s="483">
        <f>IF(ISNUMBER(Datos!R17),Datos!R17," - ")</f>
        <v>162</v>
      </c>
      <c r="AF17" s="228" t="str">
        <f>IF(ISNUMBER(Datos!BV17),Datos!BV17," - ")</f>
        <v xml:space="preserve"> - </v>
      </c>
      <c r="AG17" s="224"/>
      <c r="AH17" s="297"/>
      <c r="AI17" s="226"/>
      <c r="AJ17" s="224">
        <f>IF(ISNUMBER(Datos!M17),Datos!M17," - ")</f>
        <v>85</v>
      </c>
      <c r="AK17" s="228">
        <f>IF(ISNUMBER(Datos!N17),Datos!N17," - ")</f>
        <v>398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4.5351906158357771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1097</v>
      </c>
      <c r="G19" s="895">
        <f>SUBTOTAL(9,G15:G18)</f>
        <v>1099</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683</v>
      </c>
      <c r="Z19" s="927">
        <f t="shared" si="5"/>
        <v>17</v>
      </c>
      <c r="AA19" s="927">
        <f t="shared" si="5"/>
        <v>1032</v>
      </c>
      <c r="AB19" s="927">
        <f t="shared" si="5"/>
        <v>0</v>
      </c>
      <c r="AC19" s="927">
        <f t="shared" si="5"/>
        <v>0</v>
      </c>
      <c r="AD19" s="927">
        <f t="shared" si="5"/>
        <v>0</v>
      </c>
      <c r="AE19" s="927">
        <f t="shared" si="5"/>
        <v>162</v>
      </c>
      <c r="AF19" s="927">
        <f t="shared" si="5"/>
        <v>0</v>
      </c>
      <c r="AG19" s="927">
        <f t="shared" si="5"/>
        <v>0</v>
      </c>
      <c r="AH19" s="927">
        <f t="shared" si="5"/>
        <v>0</v>
      </c>
      <c r="AI19" s="927">
        <f t="shared" si="5"/>
        <v>0</v>
      </c>
      <c r="AJ19" s="927">
        <f t="shared" si="5"/>
        <v>85</v>
      </c>
      <c r="AK19" s="927">
        <f t="shared" si="5"/>
        <v>398</v>
      </c>
      <c r="AL19" s="927">
        <f t="shared" si="5"/>
        <v>0</v>
      </c>
      <c r="AM19" s="927">
        <f t="shared" si="5"/>
        <v>0</v>
      </c>
      <c r="AN19" s="927">
        <f t="shared" si="5"/>
        <v>0</v>
      </c>
      <c r="AO19" s="929">
        <f>IF(ISNUMBER(((NºAsuntos!I19/NºAsuntos!G19)*11)/factor_trimestre),((NºAsuntos!I19/NºAsuntos!G19)*11)/factor_trimestre," - ")</f>
        <v>4.5329428989751097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1097</v>
      </c>
      <c r="G20" s="817">
        <f t="shared" si="7"/>
        <v>1099</v>
      </c>
      <c r="H20" s="818">
        <f t="shared" si="7"/>
        <v>0</v>
      </c>
      <c r="I20" s="817">
        <f t="shared" si="7"/>
        <v>0</v>
      </c>
      <c r="J20" s="819">
        <f t="shared" si="7"/>
        <v>0</v>
      </c>
      <c r="K20" s="817">
        <f t="shared" si="7"/>
        <v>0</v>
      </c>
      <c r="L20" s="820">
        <f t="shared" si="7"/>
        <v>0</v>
      </c>
      <c r="M20" s="817">
        <f t="shared" si="7"/>
        <v>0</v>
      </c>
      <c r="N20" s="818">
        <f t="shared" si="7"/>
        <v>244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683</v>
      </c>
      <c r="Z20" s="824">
        <f t="shared" si="8"/>
        <v>208</v>
      </c>
      <c r="AA20" s="825">
        <f t="shared" si="8"/>
        <v>1032</v>
      </c>
      <c r="AB20" s="825">
        <f t="shared" si="8"/>
        <v>0</v>
      </c>
      <c r="AC20" s="825">
        <f t="shared" si="8"/>
        <v>0</v>
      </c>
      <c r="AD20" s="826">
        <f t="shared" si="8"/>
        <v>0</v>
      </c>
      <c r="AE20" s="826">
        <f t="shared" si="8"/>
        <v>5040</v>
      </c>
      <c r="AF20" s="827">
        <f t="shared" si="8"/>
        <v>0</v>
      </c>
      <c r="AG20" s="828">
        <f t="shared" si="8"/>
        <v>0</v>
      </c>
      <c r="AH20" s="829">
        <f t="shared" si="8"/>
        <v>0</v>
      </c>
      <c r="AI20" s="827">
        <f t="shared" si="8"/>
        <v>0</v>
      </c>
      <c r="AJ20" s="817">
        <f t="shared" si="8"/>
        <v>300</v>
      </c>
      <c r="AK20" s="817">
        <f t="shared" si="8"/>
        <v>752</v>
      </c>
      <c r="AL20" s="817">
        <f t="shared" si="8"/>
        <v>0</v>
      </c>
      <c r="AM20" s="830">
        <f t="shared" si="8"/>
        <v>0</v>
      </c>
      <c r="AN20" s="820">
        <f>IF(ISNUMBER(Datos!K20/Datos!J20),Datos!K20/Datos!J20," - ")</f>
        <v>0.84588235294117642</v>
      </c>
      <c r="AO20" s="820">
        <f>IF(ISNUMBER(FIND("06",Criterios!A8,1)),(IF(ISNUMBER(((Datos!R20/Datos!Q20)*11)/factor_trimestre),((Datos!R20/Datos!Q20)*11)/factor_trimestre," - ")),(IF(ISNUMBER(((Datos!L20/Datos!K20)*11)/factor_trimestre),((Datos!L20/Datos!K20)*11)/factor_trimestre," - ")))</f>
        <v>8.9102920723226706</v>
      </c>
      <c r="AP20" s="831" t="str">
        <f>IF(ISNUMBER(Datos!CI20/Datos!CJ20),Datos!CI20/Datos!CJ20," - ")</f>
        <v xml:space="preserve"> - </v>
      </c>
      <c r="AQ20" s="831">
        <f>IF(OR(ISNUMBER(FIND("01",Criterios!A8,1)),ISNUMBER(FIND("02",Criterios!A8,1)),ISNUMBER(FIND("03",Criterios!A8,1)),ISNUMBER(FIND("04",Criterios!A8,1))),(J20-Y20+K20)/(F20-K20),(I20-Y20+K20)/(F20-K20))</f>
        <v>-0.62260711030082039</v>
      </c>
      <c r="AR20" s="831">
        <f>IF(ISNUMBER((Datos!P20-Datos!Q20+O20)/(Datos!R20-Datos!P20+Datos!Q20-O20)),(Datos!P20-Datos!Q20+O20)/(Datos!R20-Datos!P20+Datos!Q20-O20)," - ")</f>
        <v>7.1942446043165471E-3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439.6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633.35324530101946</v>
      </c>
      <c r="G22" s="551">
        <f>IF(ISNUMBER(STDEV(G8:G19)),STDEV(G8:G19),"-")</f>
        <v>601.03519031750545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96.850400102426008</v>
      </c>
      <c r="AK22" s="251"/>
      <c r="AL22" s="251">
        <f>IF(ISNUMBER(STDEV(AL8:AL19)),STDEV(AL8:AL19),"-")</f>
        <v>0</v>
      </c>
      <c r="AM22" s="253">
        <f>IF(ISNUMBER(STDEV(AM8:AM19)),STDEV(AM8:AM19),"-")</f>
        <v>0</v>
      </c>
      <c r="AN22" s="538">
        <f>IF(ISNUMBER(STDEV(AN8:AN19)),STDEV(AN8:AN19),"-")</f>
        <v>0</v>
      </c>
      <c r="AO22" s="539">
        <f>IF(ISNUMBER(STDEV(AO8:AO19)),STDEV(AO8:AO19),"-")</f>
        <v>4.4841346021586377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F9pL/2wC4YlNyYHJC3r6kYVKSGmby2mHWQkdifmqh9x/udHTuEBVWdnW79+9Jdv4QT2HcUvAlkjLCf4SrnN0A==" saltValue="5TOZlhEXgKJHzR4bHNTL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WCJ3WW/FgJXX+CZphye+jcPsoFsZdCIsJ7/1lpBuqThvOF3HyRU7S7oI565285KTcYsKGJQSSxMq3N+eod6qQ==" saltValue="RoApbk73Cq4l8r/ta+75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E+/KSfyZID1+lUmSC4vfsv6RWsmfvF/nnuQN4fMKVnz/OJYQMqebvsrOfHqnsAjQMy6BjdUmt+Cdp1V5MNxQA==" saltValue="xD/fJphBnxnAqGlvOYwc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MONTCADA-MONCADA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0.25748502994011974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0.18206941072467989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gt5OKFjoRsPIkcSYjMrO+R5Kvcp0m+E1V/Wrm9HNdp33RSvKUzluNDseTqDrIN3iuIiUcfszoHAmMQcaZNxkw==" saltValue="Y6Jk0jrPiztngMZvoHT9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BReHAIhPJoOp654L0f+7o5O+DAMPPWoJhG+9YZrgwsigrErkb8RmqDokxNGWq56oDUR0/nrtWAayi3/7Cf4w==" saltValue="XnfUV/csyJGlBgoRqeFt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MONTCADA-MONCADA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3041</v>
      </c>
      <c r="D12" s="403">
        <f>IF(ISNUMBER(C12/Datos!BH12),C12/Datos!BH12," - ")</f>
        <v>760.25</v>
      </c>
      <c r="E12" s="402">
        <f>IF(ISNUMBER(IF(J_V="SI",Datos!J12,Datos!J12+Datos!Z12)),IF(J_V="SI",Datos!J12,Datos!J12+Datos!Z12)," - ")</f>
        <v>1170</v>
      </c>
      <c r="F12" s="403">
        <f>IF(ISNUMBER(E12/B12),E12/B12," - ")</f>
        <v>292.5</v>
      </c>
      <c r="G12" s="402">
        <f>IF(ISNUMBER(IF(J_V="SI",Datos!K12,Datos!K12+Datos!AA12)),IF(J_V="SI",Datos!K12,Datos!K12+Datos!AA12)," - ")</f>
        <v>835</v>
      </c>
      <c r="H12" s="403">
        <f>IF(ISNUMBER(G12/B12),G12/B12," - ")</f>
        <v>208.75</v>
      </c>
      <c r="I12" s="402">
        <f>IF(ISNUMBER(IF(J_V="SI",Datos!L12,Datos!L12+Datos!AB12)),IF(J_V="SI",Datos!L12,Datos!L12+Datos!AB12)," - ")</f>
        <v>3376</v>
      </c>
      <c r="J12" s="403">
        <f>IF(ISNUMBER(I12/B12),I12/B12," - ")</f>
        <v>844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3041</v>
      </c>
      <c r="D13" s="847" t="str">
        <f>IF(ISNUMBER(C13/Datos!BI13),C13/Datos!BI13," - ")</f>
        <v xml:space="preserve"> - </v>
      </c>
      <c r="E13" s="846">
        <f>SUBTOTAL(9,E8:E12)</f>
        <v>1170</v>
      </c>
      <c r="F13" s="847">
        <f>IF(ISNUMBER(E13/B13),E13/B13," - ")</f>
        <v>292.5</v>
      </c>
      <c r="G13" s="846">
        <f>SUBTOTAL(9,G8:G12)</f>
        <v>835</v>
      </c>
      <c r="H13" s="847">
        <f>IF(ISNUMBER(G13/B13),G13/B13," - ")</f>
        <v>208.75</v>
      </c>
      <c r="I13" s="846">
        <f>SUBTOTAL(9,I8:I12)</f>
        <v>3376</v>
      </c>
      <c r="J13" s="847">
        <f>IF(ISNUMBER(I13/B13),I13/B13," - ")</f>
        <v>844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1097</v>
      </c>
      <c r="D17" s="403">
        <f>IF(ISNUMBER(C17/Datos!BH17),C17/Datos!BH17," - ")</f>
        <v>274.25</v>
      </c>
      <c r="E17" s="402">
        <f>IF(ISNUMBER(IF(D_I="SI",Datos!J17,Datos!J17+Datos!AD17)),IF(D_I="SI",Datos!J17,Datos!J17+Datos!AD17)," - ")</f>
        <v>616</v>
      </c>
      <c r="F17" s="403">
        <f>IF(ISNUMBER(E17/B17),E17/B17," - ")</f>
        <v>154</v>
      </c>
      <c r="G17" s="402">
        <f>IF(ISNUMBER(IF(D_I="SI",Datos!K17,Datos!K17+Datos!AE17)),IF(D_I="SI",Datos!K17,Datos!K17+Datos!AE17)," - ")</f>
        <v>682</v>
      </c>
      <c r="H17" s="403">
        <f>IF(ISNUMBER(G17/B17),G17/B17," - ")</f>
        <v>170.5</v>
      </c>
      <c r="I17" s="402">
        <f>IF(ISNUMBER(IF(D_I="SI",Datos!L17,Datos!L17+Datos!AF17)),IF(D_I="SI",Datos!L17,Datos!L17+Datos!AF17)," - ")</f>
        <v>1031</v>
      </c>
      <c r="J17" s="403">
        <f>IF(ISNUMBER(I17/B17),I17/B17," - ")</f>
        <v>257.75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v>
      </c>
      <c r="D18" s="403">
        <f>IF(ISNUMBER(C18/Datos!BH18),C18/Datos!BH18," - ")</f>
        <v>2</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1</v>
      </c>
      <c r="J18" s="403">
        <f>IF(ISNUMBER(I18/B18),I18/B18," - ")</f>
        <v>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1099</v>
      </c>
      <c r="D19" s="847" t="str">
        <f>IF(ISNUMBER(C19/Datos!BI19),C19/Datos!BI19," - ")</f>
        <v xml:space="preserve"> - </v>
      </c>
      <c r="E19" s="846">
        <f>SUBTOTAL(9,E14:E18)</f>
        <v>616</v>
      </c>
      <c r="F19" s="847">
        <f>IF(ISNUMBER(E19/B19),E19/B19," - ")</f>
        <v>154</v>
      </c>
      <c r="G19" s="846">
        <f>SUBTOTAL(9,G14:G18)</f>
        <v>683</v>
      </c>
      <c r="H19" s="847">
        <f>IF(ISNUMBER(G19/B19),G19/B19," - ")</f>
        <v>170.75</v>
      </c>
      <c r="I19" s="846">
        <f>SUBTOTAL(9,I14:I18)</f>
        <v>1032</v>
      </c>
      <c r="J19" s="847">
        <f>IF(ISNUMBER(I19/B19),I19/B19," - ")</f>
        <v>258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4140</v>
      </c>
      <c r="D20" s="792" t="str">
        <f>IF(ISNUMBER(C20/Datos!BI20),C20/Datos!BI20," - ")</f>
        <v xml:space="preserve"> - </v>
      </c>
      <c r="E20" s="791">
        <f>SUBTOTAL(9,E9:E19)</f>
        <v>1786</v>
      </c>
      <c r="F20" s="792">
        <f>IF(ISNUMBER(E20/B20),E20/B20," - ")</f>
        <v>446.5</v>
      </c>
      <c r="G20" s="791">
        <f>SUBTOTAL(9,G9:G19)</f>
        <v>1518</v>
      </c>
      <c r="H20" s="792">
        <f>IF(ISNUMBER(G20/B20),G20/B20," - ")</f>
        <v>379.5</v>
      </c>
      <c r="I20" s="791">
        <f>SUBTOTAL(9,I9:I19)</f>
        <v>4408</v>
      </c>
      <c r="J20" s="792">
        <f>IF(ISNUMBER(I20/B20),I20/B20," - ")</f>
        <v>1102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uYdcs0XoBriFWxfC425Y3b21jouTfh27sUq4ieIcFmXdpbSqsQJI+rMK1/ZI57vBAFBdLWy1E0pIZWnlW1e/g==" saltValue="eMsb26RDATPmDQJwiHPkn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MONTCADA-MONCADA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215</v>
      </c>
      <c r="AM12" s="687">
        <f>IF(ISNUMBER(Datos!N12+DatosP!N17),Datos!N12+DatosP!N17," - ")</f>
        <v>354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12.129341317365272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9.5198675496688742E-3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191</v>
      </c>
      <c r="AE13" s="934">
        <f t="shared" si="1"/>
        <v>0</v>
      </c>
      <c r="AF13" s="934">
        <f t="shared" si="1"/>
        <v>0</v>
      </c>
      <c r="AG13" s="934">
        <f t="shared" si="1"/>
        <v>0</v>
      </c>
      <c r="AH13" s="934">
        <f t="shared" si="1"/>
        <v>4878</v>
      </c>
      <c r="AI13" s="934">
        <f t="shared" si="1"/>
        <v>0</v>
      </c>
      <c r="AJ13" s="934">
        <f t="shared" si="1"/>
        <v>0</v>
      </c>
      <c r="AK13" s="934">
        <f t="shared" si="1"/>
        <v>0</v>
      </c>
      <c r="AL13" s="934">
        <f t="shared" si="1"/>
        <v>215</v>
      </c>
      <c r="AM13" s="934">
        <f t="shared" si="1"/>
        <v>354</v>
      </c>
      <c r="AN13" s="934">
        <f t="shared" si="1"/>
        <v>0</v>
      </c>
      <c r="AO13" s="934">
        <f t="shared" si="1"/>
        <v>0</v>
      </c>
      <c r="AP13" s="939">
        <f>IF(ISNUMBER(((Datos!L13/Datos!K13)*11)/factor_trimestre),((Datos!L13/Datos!K13)*11)/factor_trimestre," - ")</f>
        <v>12.87019867549669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9.5198675496688742E-3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4.5329428989751097</v>
      </c>
      <c r="AQ19" s="939">
        <f>IF(ISNUMBER(((Datos!M19/Datos!L19)*11)/factor_trimestre),((Datos!M19/Datos!L19)*11)/factor_trimestre," - ")</f>
        <v>0.24709302325581395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-5.8139534883720929E-2</v>
      </c>
      <c r="AW19" s="941">
        <f>IF(ISNUMBER((Datos!Q19-Datos!R19)/(Datos!S19-Datos!Q19+Datos!R19)),(Datos!Q19-Datos!R19)/(Datos!S19-Datos!Q19+Datos!R19)," - ")</f>
        <v>-0.11128165771297006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191</v>
      </c>
      <c r="AE20" s="952">
        <f t="shared" si="5"/>
        <v>0</v>
      </c>
      <c r="AF20" s="953">
        <f t="shared" si="5"/>
        <v>0</v>
      </c>
      <c r="AG20" s="953">
        <f t="shared" si="5"/>
        <v>0</v>
      </c>
      <c r="AH20" s="953">
        <f t="shared" si="5"/>
        <v>4878</v>
      </c>
      <c r="AI20" s="953">
        <f t="shared" si="5"/>
        <v>0</v>
      </c>
      <c r="AJ20" s="954">
        <f t="shared" si="5"/>
        <v>0</v>
      </c>
      <c r="AK20" s="954">
        <f t="shared" si="5"/>
        <v>0</v>
      </c>
      <c r="AL20" s="946">
        <f t="shared" si="5"/>
        <v>215</v>
      </c>
      <c r="AM20" s="946">
        <f t="shared" si="5"/>
        <v>354</v>
      </c>
      <c r="AN20" s="946">
        <f t="shared" si="5"/>
        <v>0</v>
      </c>
      <c r="AO20" s="946">
        <f t="shared" si="5"/>
        <v>0</v>
      </c>
      <c r="AP20" s="946">
        <f>IF(ISNUMBER(((Datos!L20/Datos!K20)*11)/factor_trimestre),((Datos!L20/Datos!K20)*11)/factor_trimestre," - ")</f>
        <v>8.9102920723226706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7.1942446043165471E-3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124.13030787576955</v>
      </c>
      <c r="AM22" s="733"/>
      <c r="AN22" s="733">
        <f>IF(ISNUMBER(STDEV(AN8:AN19)),STDEV(AN8:AN19),"-")</f>
        <v>0</v>
      </c>
      <c r="AO22" s="739">
        <f>IF(ISNUMBER(STDEV(AO8:AO19)),STDEV(AO8:AO19),"-")</f>
        <v>0</v>
      </c>
      <c r="AP22" s="776">
        <f>IF(ISNUMBER(STDEV(AP8:AP19)),STDEV(AP8:AP19),"-")</f>
        <v>4.6145417331005678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3PLGW5y8P1Fy8ncNug17+nNVhtc2bb/VE9sSIihA00Y97mh50CcftrbNTY+5s3JKtGtsPefJi6/6bTOb8FlaQ==" saltValue="ZPllZEHTuJ/EMazedrdx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MONTCADA-MONCADA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242.26384616176446</v>
      </c>
      <c r="CF9" s="228">
        <f ca="1">AVERAGEIFS($AB:$AB,$BW:$BW,BW9,$BX:$BX,BX9)</f>
        <v>242.26384616176446</v>
      </c>
      <c r="CG9" s="1191">
        <v>0.7</v>
      </c>
      <c r="CH9" s="1191">
        <f ca="1">AVERAGEIF($BW:$BW,$BW9,$AC:$AC)</f>
        <v>62.4</v>
      </c>
      <c r="CI9" s="228">
        <f ca="1">AVERAGEIFS($AC:$AC,$BW:$BW,$BW9,$BX:$BX,$BX9)</f>
        <v>62.4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344</v>
      </c>
      <c r="CR9" s="228">
        <f ca="1">AVERAGEIFS($AF:$AF,$BW:$BW,BW9,$BX:$BX,BX9)</f>
        <v>344</v>
      </c>
      <c r="CS9" s="1191">
        <v>1.3</v>
      </c>
      <c r="CT9" s="1191">
        <v>1.5</v>
      </c>
      <c r="CU9" s="1191">
        <f ca="1">AVERAGEIF($BW:$BW,$BW9,$AH:$AH)</f>
        <v>58.714285714285715</v>
      </c>
      <c r="CV9" s="228">
        <f ca="1">AVERAGEIFS($AH:$AH,$BW:$BW,$BW9,$BX:$BX,$BX9)</f>
        <v>58.714285714285715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1512</v>
      </c>
      <c r="DH9" s="1218">
        <f ca="1">AVERAGEIFS($AM:$AM,$BW:$BW,$BW9,$BX:$BX,$BX9)</f>
        <v>1512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5.0670405673724703</v>
      </c>
      <c r="ER9" s="1218">
        <f ca="1">AVERAGEIFS($BH:$BH,$BW:$BW,$BW9,$BX:$BX,$BX9)</f>
        <v>5.0670405673724703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242.26384616176446</v>
      </c>
      <c r="CF10" s="228">
        <f ca="1">AVERAGEIFS($AB:$AB,$BW:$BW,BW10,$BX:$BX,BX10)</f>
        <v>242.26384616176446</v>
      </c>
      <c r="CG10" s="1191">
        <v>0.7</v>
      </c>
      <c r="CH10" s="1191">
        <f ca="1">AVERAGEIF($BW:$BW,BW10,$AC:$AC)</f>
        <v>62.4</v>
      </c>
      <c r="CI10" s="228">
        <f ca="1">AVERAGEIFS($AC:$AC,$BW:$BW,BW10,$BX:$BX,BX10)</f>
        <v>62.4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344</v>
      </c>
      <c r="CR10" s="228">
        <f ca="1">AVERAGEIFS($AF:$AF,$BW:$BW,BW10,$BX:$BX,BX10)</f>
        <v>344</v>
      </c>
      <c r="CS10" s="1191">
        <v>1.3</v>
      </c>
      <c r="CT10" s="1191">
        <v>1.5</v>
      </c>
      <c r="CU10" s="1191">
        <f ca="1">AVERAGEIF($BW:$BW,$BW10,$AH:$AH)</f>
        <v>58.714285714285715</v>
      </c>
      <c r="CV10" s="228">
        <f ca="1">AVERAGEIFS($AH:$AH,$BW:$BW,$BW10,$BX:$BX,$BX10)</f>
        <v>58.714285714285715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1512</v>
      </c>
      <c r="DH10" s="1218">
        <f ca="1">AVERAGEIFS($AM:$AM,$BW:$BW,$BW10,$BX:$BX,$BX10)</f>
        <v>1512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5.0670405673724703</v>
      </c>
      <c r="ER10" s="1218">
        <f ca="1">AVERAGEIFS($BH:$BH,$BW:$BW,$BW10,$BX:$BX,$BX10)</f>
        <v>5.0670405673724703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242.26384616176446</v>
      </c>
      <c r="CF11" s="228">
        <f ca="1">AVERAGEIFS($AB:$AB,$BW:$BW,BW11,$BX:$BX,BX11)</f>
        <v>242.26384616176446</v>
      </c>
      <c r="CG11" s="1191">
        <v>0.7</v>
      </c>
      <c r="CH11" s="1191">
        <f ca="1">AVERAGEIF($BW:$BW,BW11,$AC:$AC)</f>
        <v>62.4</v>
      </c>
      <c r="CI11" s="228">
        <f ca="1">AVERAGEIFS($AC:$AC,$BW:$BW,BW11,$BX:$BX,BX11)</f>
        <v>62.4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344</v>
      </c>
      <c r="CR11" s="228">
        <f ca="1">AVERAGEIFS($AF:$AF,$BW:$BW,BW11,$BX:$BX,BX11)</f>
        <v>344</v>
      </c>
      <c r="CS11" s="1191">
        <v>1.3</v>
      </c>
      <c r="CT11" s="1191">
        <v>1.5</v>
      </c>
      <c r="CU11" s="1191">
        <f ca="1">AVERAGEIF($BW:$BW,$BW11,$AH:$AH)</f>
        <v>58.714285714285715</v>
      </c>
      <c r="CV11" s="228">
        <f ca="1">AVERAGEIFS($AH:$AH,$BW:$BW,$BW11,$BX:$BX,$BX11)</f>
        <v>58.714285714285715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1512</v>
      </c>
      <c r="DH11" s="1218">
        <f ca="1">AVERAGEIFS($AM:$AM,$BW:$BW,$BW11,$BX:$BX,$BX11)</f>
        <v>1512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5.0670405673724703</v>
      </c>
      <c r="ER11" s="1218">
        <f ca="1">AVERAGEIFS($BH:$BH,$BW:$BW,$BW11,$BX:$BX,$BX11)</f>
        <v>5.0670405673724703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86</v>
      </c>
      <c r="O12" s="333"/>
      <c r="P12" s="333"/>
      <c r="Q12" s="225">
        <f>IF(ISNUMBER(Datos!P12),Datos!P12,0)</f>
        <v>237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137</v>
      </c>
      <c r="AI12" s="224" t="str">
        <f>IF(ISNUMBER(Datos!CD12),Datos!CD12,"-")</f>
        <v>-</v>
      </c>
      <c r="AJ12" s="1214" t="str">
        <f>IF(ISNUMBER(Datos!EN12),Datos!EN12," - ")</f>
        <v xml:space="preserve"> - </v>
      </c>
      <c r="AK12" s="333"/>
      <c r="AL12" s="478"/>
      <c r="AM12" s="1214">
        <f>IF(ISNUMBER(Datos!R12),Datos!R12," - ")</f>
        <v>4878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215</v>
      </c>
      <c r="BD12" s="228">
        <f>IF(ISNUMBER(Datos!N12),Datos!N12," - ")</f>
        <v>354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0.71367521367521369</v>
      </c>
      <c r="BH12" s="1214">
        <f>IF(ISNUMBER(((IF(J_V="SI",Datos!L12/Datos!K12,(Datos!L12+Datos!AB12)/(Datos!K12+Datos!AA12)))*11)/factor_trimestre),((IF(J_V="SI",Datos!L12/Datos!K12,(Datos!L12+Datos!AB12)/(Datos!K12+Datos!AA12)))*11)/factor_trimestre," - ")</f>
        <v>12.129341317365272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9.5198675496688742E-3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242.26384616176446</v>
      </c>
      <c r="CF12" s="228">
        <f ca="1">AVERAGEIFS($AB:$AB,$BW:$BW,BW12,$BX:$BX,BX12)</f>
        <v>242.26384616176446</v>
      </c>
      <c r="CG12" s="1191">
        <v>0.7</v>
      </c>
      <c r="CH12" s="1191">
        <f ca="1">AVERAGEIF($BW:$BW,BW12,$AC:$AC)</f>
        <v>62.4</v>
      </c>
      <c r="CI12" s="228">
        <f ca="1">AVERAGEIFS($AC:$AC,$BW:$BW,BW12,$BX:$BX,BX12)</f>
        <v>62.4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344</v>
      </c>
      <c r="CR12" s="228">
        <f ca="1">AVERAGEIFS($AF:$AF,$BW:$BW,BW12,$BX:$BX,BX12)</f>
        <v>344</v>
      </c>
      <c r="CS12" s="1191">
        <v>1.3</v>
      </c>
      <c r="CT12" s="1191">
        <v>1.5</v>
      </c>
      <c r="CU12" s="1191">
        <f ca="1">AVERAGEIF($BW:$BW,$BW12,$AH:$AH)</f>
        <v>58.714285714285715</v>
      </c>
      <c r="CV12" s="228">
        <f ca="1">AVERAGEIFS($AH:$AH,$BW:$BW,$BW12,$BX:$BX,$BX12)</f>
        <v>58.714285714285715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1512</v>
      </c>
      <c r="DH12" s="1218">
        <f ca="1">AVERAGEIFS($AM:$AM,$BW:$BW,$BW12,$BX:$BX,$BX12)</f>
        <v>1512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5.0670405673724703</v>
      </c>
      <c r="ER12" s="1218">
        <f ca="1">AVERAGEIFS($BH:$BH,$BW:$BW,$BW12,$BX:$BX,$BX12)</f>
        <v>5.0670405673724703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86</v>
      </c>
      <c r="O13" s="897">
        <f t="shared" si="1"/>
        <v>0</v>
      </c>
      <c r="P13" s="897">
        <f t="shared" si="1"/>
        <v>0</v>
      </c>
      <c r="Q13" s="896">
        <f t="shared" si="1"/>
        <v>237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191</v>
      </c>
      <c r="AD13" s="896">
        <f t="shared" si="2"/>
        <v>0</v>
      </c>
      <c r="AE13" s="896">
        <f t="shared" si="2"/>
        <v>0</v>
      </c>
      <c r="AF13" s="896">
        <f t="shared" si="2"/>
        <v>0</v>
      </c>
      <c r="AG13" s="896">
        <f t="shared" si="2"/>
        <v>0</v>
      </c>
      <c r="AH13" s="896">
        <f t="shared" si="2"/>
        <v>137</v>
      </c>
      <c r="AI13" s="896">
        <f t="shared" si="2"/>
        <v>0</v>
      </c>
      <c r="AJ13" s="896">
        <f t="shared" si="2"/>
        <v>0</v>
      </c>
      <c r="AK13" s="896">
        <f t="shared" si="2"/>
        <v>0</v>
      </c>
      <c r="AL13" s="896">
        <f t="shared" si="2"/>
        <v>0</v>
      </c>
      <c r="AM13" s="896">
        <f t="shared" si="2"/>
        <v>4878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215</v>
      </c>
      <c r="BD13" s="896">
        <f t="shared" si="2"/>
        <v>354</v>
      </c>
      <c r="BE13" s="896">
        <f t="shared" si="2"/>
        <v>0</v>
      </c>
      <c r="BF13" s="896">
        <f t="shared" si="2"/>
        <v>0</v>
      </c>
      <c r="BG13" s="896">
        <f>IF(ISNUMBER(Datos!K13/Datos!J13),Datos!K13/Datos!J13," - ")</f>
        <v>0.69649446494464939</v>
      </c>
      <c r="BH13" s="900">
        <f>IF(ISNUMBER(((Datos!L13/Datos!K13)*11)/factor_trimestre),((Datos!L13/Datos!K13)*11)/factor_trimestre," - ")</f>
        <v>12.87019867549669</v>
      </c>
      <c r="BI13" s="896">
        <f>IF(ISNUMBER('Resol  Asuntos'!D13/NºAsuntos!G13),'Resol  Asuntos'!D13/NºAsuntos!G13," - ")</f>
        <v>0.25748502994011974</v>
      </c>
      <c r="BJ13" s="896" t="str">
        <f>IF(ISNUMBER(Datos!CI13/Datos!CJ13),Datos!CI13/Datos!CJ13," - ")</f>
        <v xml:space="preserve"> - </v>
      </c>
      <c r="BK13" s="896">
        <f>SUBTOTAL(9,BK8:BK12)</f>
        <v>0</v>
      </c>
      <c r="BL13" s="896" t="str">
        <f>IF(ISNUMBER((I13-AB13+L13)/(F13)),(I13-AB13+L13)/(F13)," - ")</f>
        <v xml:space="preserve"> - </v>
      </c>
      <c r="BM13" s="901">
        <f>SUBTOTAL(9,BM9:BM12)</f>
        <v>9.5198675496688742E-3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242.26384616176446</v>
      </c>
      <c r="CF15" s="228">
        <f ca="1">AVERAGEIFS($AB:$AB,$BW:$BW,BW15,$BX:$BX,BX15)</f>
        <v>242.26384616176446</v>
      </c>
      <c r="CG15" s="1191">
        <v>0.7</v>
      </c>
      <c r="CH15" s="1191">
        <f ca="1">AVERAGEIF($BW:$BW,BW15,$AC:$AC)</f>
        <v>62.4</v>
      </c>
      <c r="CI15" s="228">
        <f ca="1">AVERAGEIFS($AC:$AC,$BW:$BW,BW15,$BX:$BX,BX15)</f>
        <v>62.4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344</v>
      </c>
      <c r="CR15" s="228">
        <f ca="1">AVERAGEIFS($AF:$AF,$BW:$BW,BW15,$BX:$BX,BX15)</f>
        <v>344</v>
      </c>
      <c r="CS15" s="1191">
        <v>1.3</v>
      </c>
      <c r="CT15" s="1191">
        <v>1.5</v>
      </c>
      <c r="CU15" s="1191">
        <f ca="1">AVERAGEIF($BW:$BW,$BW15,$AH:$AH)</f>
        <v>58.714285714285715</v>
      </c>
      <c r="CV15" s="228">
        <f ca="1">AVERAGEIFS($AH:$AH,$BW:$BW,$BW15,$BX:$BX,$BX15)</f>
        <v>58.714285714285715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1512</v>
      </c>
      <c r="DH15" s="1218">
        <f ca="1">AVERAGEIFS($AM:$AM,$BW:$BW,$BW15,$BX:$BX,$BX15)</f>
        <v>1512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5.0670405673724703</v>
      </c>
      <c r="ER15" s="1218">
        <f ca="1">AVERAGEIFS($BH:$BH,$BW:$BW,$BW15,$BX:$BX,$BX15)</f>
        <v>5.0670405673724703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242.26384616176446</v>
      </c>
      <c r="CF16" s="1218">
        <f ca="1">AVERAGEIFS($AB:$AB,$BW:$BW,BW16,$BX:$BX,BX16)</f>
        <v>242.26384616176446</v>
      </c>
      <c r="CG16" s="1191">
        <v>0.7</v>
      </c>
      <c r="CH16" s="1191">
        <f ca="1">AVERAGEIF($BW:$BW,BW16,$AC:$AC)</f>
        <v>62.4</v>
      </c>
      <c r="CI16" s="1218">
        <f ca="1">AVERAGEIFS($AC:$AC,$BW:$BW,BW16,$BX:$BX,BX16)</f>
        <v>62.4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344</v>
      </c>
      <c r="CR16" s="1218">
        <f ca="1">AVERAGEIFS($AF:$AF,$BW:$BW,BW16,$BX:$BX,BX16)</f>
        <v>344</v>
      </c>
      <c r="CS16" s="1191">
        <v>1.3</v>
      </c>
      <c r="CT16" s="1191">
        <v>1.5</v>
      </c>
      <c r="CU16" s="1191">
        <f ca="1">AVERAGEIF($BW:$BW,$BW16,$AH:$AH)</f>
        <v>58.714285714285715</v>
      </c>
      <c r="CV16" s="1218">
        <f ca="1">AVERAGEIFS($AH:$AH,$BW:$BW,$BW16,$BX:$BX,$BX16)</f>
        <v>58.714285714285715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1512</v>
      </c>
      <c r="DH16" s="1218">
        <f ca="1">AVERAGEIFS($AM:$AM,$BW:$BW,$BW16,$BX:$BX,$BX16)</f>
        <v>1512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5.0670405673724703</v>
      </c>
      <c r="ER16" s="1218">
        <f ca="1">AVERAGEIFS($BH:$BH,$BW:$BW,$BW16,$BX:$BX,$BX16)</f>
        <v>5.0670405673724703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1097</v>
      </c>
      <c r="G17" s="596">
        <f>IF(ISNUMBER(IF(D_I="SI",Datos!I17,Datos!I17+Datos!AC17)),IF(D_I="SI",Datos!I17,Datos!I17+Datos!AC17)," - ")</f>
        <v>1097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682</v>
      </c>
      <c r="AC17" s="224">
        <f>IF(ISNUMBER(Datos!Q17),Datos!Q17," - ")</f>
        <v>17</v>
      </c>
      <c r="AD17" s="224"/>
      <c r="AE17" s="224"/>
      <c r="AF17" s="224">
        <f>IF(ISNUMBER(IF(D_I="SI",Datos!L17,Datos!L17+Datos!AF17)),IF(D_I="SI",Datos!L17,Datos!L17+Datos!AF17)," - ")</f>
        <v>1031</v>
      </c>
      <c r="AG17" s="333"/>
      <c r="AH17" s="224"/>
      <c r="AI17" s="224"/>
      <c r="AJ17" s="1214"/>
      <c r="AK17" s="333"/>
      <c r="AL17" s="478"/>
      <c r="AM17" s="1214">
        <f>IF(ISNUMBER(Datos!R17),Datos!R17," - ")</f>
        <v>162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85</v>
      </c>
      <c r="BD17" s="228">
        <f>IF(ISNUMBER(Datos!N17),Datos!N17," - ")</f>
        <v>398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1.1071428571428572</v>
      </c>
      <c r="BH17" s="1214">
        <f>IF(ISNUMBER(((IF(D_I="SI",Datos!L17/Datos!K17,(Datos!L17+Datos!AF17)/(Datos!K17+Datos!AE17)))*11)/factor_trimestre),((IF(D_I="SI",Datos!L17/Datos!K17,(Datos!L17+Datos!AF17)/(Datos!K17+Datos!AE17)))*11)/factor_trimestre," - ")</f>
        <v>4.5351906158357771</v>
      </c>
      <c r="BI17" s="242">
        <f>IF(ISNUMBER('Resol  Asuntos'!D17/NºAsuntos!G17),'Resol  Asuntos'!D17/NºAsuntos!G17," - ")</f>
        <v>0.12463343108504399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242.26384616176446</v>
      </c>
      <c r="CF17" s="228">
        <f ca="1">AVERAGEIFS($AB:$AB,$BW:$BW,BW17,$BX:$BX,BX17)</f>
        <v>242.26384616176446</v>
      </c>
      <c r="CG17" s="1191">
        <v>0.7</v>
      </c>
      <c r="CH17" s="1191">
        <f ca="1">AVERAGEIF($BW:$BW,BW17,$AC:$AC)</f>
        <v>62.4</v>
      </c>
      <c r="CI17" s="228">
        <f ca="1">AVERAGEIFS($AC:$AC,$BW:$BW,BW17,$BX:$BX,BX17)</f>
        <v>62.4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344</v>
      </c>
      <c r="CR17" s="228">
        <f ca="1">AVERAGEIFS($AF:$AF,$BW:$BW,BW17,$BX:$BX,BX17)</f>
        <v>344</v>
      </c>
      <c r="CS17" s="1191">
        <v>1.3</v>
      </c>
      <c r="CT17" s="1191">
        <v>1.5</v>
      </c>
      <c r="CU17" s="1191">
        <f ca="1">AVERAGEIF($BW:$BW,$BW17,$AH:$AH)</f>
        <v>58.714285714285715</v>
      </c>
      <c r="CV17" s="228">
        <f ca="1">AVERAGEIFS($AH:$AH,$BW:$BW,$BW17,$BX:$BX,$BX17)</f>
        <v>58.714285714285715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1512</v>
      </c>
      <c r="DH17" s="1218">
        <f ca="1">AVERAGEIFS($AM:$AM,$BW:$BW,$BW17,$BX:$BX,$BX17)</f>
        <v>1512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5.0670405673724703</v>
      </c>
      <c r="ER17" s="1218">
        <f ca="1">AVERAGEIFS($BH:$BH,$BW:$BW,$BW17,$BX:$BX,$BX17)</f>
        <v>5.0670405673724703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242.26384616176446</v>
      </c>
      <c r="CF18" s="228">
        <f ca="1">AVERAGEIFS($AB:$AB,$BW:$BW,BW18,$BX:$BX,BX18)</f>
        <v>242.26384616176446</v>
      </c>
      <c r="CG18" s="1191">
        <v>0.7</v>
      </c>
      <c r="CH18" s="1191">
        <f ca="1">AVERAGEIF($BW:$BW,BW18,$AC:$AC)</f>
        <v>62.4</v>
      </c>
      <c r="CI18" s="228">
        <f ca="1">AVERAGEIFS($AC:$AC,$BW:$BW,BW18,$BX:$BX,BX18)</f>
        <v>62.4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344</v>
      </c>
      <c r="CR18" s="228">
        <f ca="1">AVERAGEIFS($AF:$AF,$BW:$BW,BW18,$BX:$BX,BX18)</f>
        <v>344</v>
      </c>
      <c r="CS18" s="1191">
        <v>1.3</v>
      </c>
      <c r="CT18" s="1191">
        <v>1.5</v>
      </c>
      <c r="CU18" s="1191">
        <f ca="1">AVERAGEIF($BW:$BW,$BW18,$AH:$AH)</f>
        <v>58.714285714285715</v>
      </c>
      <c r="CV18" s="228">
        <f ca="1">AVERAGEIFS($AH:$AH,$BW:$BW,$BW18,$BX:$BX,$BX18)</f>
        <v>58.714285714285715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1512</v>
      </c>
      <c r="DH18" s="1218">
        <f ca="1">AVERAGEIFS($AM:$AM,$BW:$BW,$BW18,$BX:$BX,$BX18)</f>
        <v>1512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5.0670405673724703</v>
      </c>
      <c r="ER18" s="1218">
        <f ca="1">AVERAGEIFS($BH:$BH,$BW:$BW,$BW18,$BX:$BX,$BX18)</f>
        <v>5.0670405673724703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1097</v>
      </c>
      <c r="G19" s="895">
        <f>SUBTOTAL(9,G15:G18)</f>
        <v>1099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683</v>
      </c>
      <c r="AC19" s="896">
        <f t="shared" si="5"/>
        <v>17</v>
      </c>
      <c r="AD19" s="896">
        <f t="shared" si="5"/>
        <v>0</v>
      </c>
      <c r="AE19" s="896">
        <f t="shared" si="5"/>
        <v>0</v>
      </c>
      <c r="AF19" s="896">
        <f t="shared" si="5"/>
        <v>1032</v>
      </c>
      <c r="AG19" s="896">
        <f t="shared" si="5"/>
        <v>0</v>
      </c>
      <c r="AH19" s="896">
        <f t="shared" si="5"/>
        <v>0</v>
      </c>
      <c r="AI19" s="896">
        <f t="shared" si="5"/>
        <v>0</v>
      </c>
      <c r="AJ19" s="896">
        <f t="shared" si="5"/>
        <v>0</v>
      </c>
      <c r="AK19" s="896">
        <f t="shared" si="5"/>
        <v>0</v>
      </c>
      <c r="AL19" s="896">
        <f t="shared" si="5"/>
        <v>0</v>
      </c>
      <c r="AM19" s="896">
        <f t="shared" si="5"/>
        <v>162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85</v>
      </c>
      <c r="BD19" s="896">
        <f t="shared" si="5"/>
        <v>398</v>
      </c>
      <c r="BE19" s="896">
        <f t="shared" si="5"/>
        <v>0</v>
      </c>
      <c r="BF19" s="896">
        <f t="shared" si="5"/>
        <v>0</v>
      </c>
      <c r="BG19" s="896">
        <f>IF(ISNUMBER(Datos!K19/Datos!J19),Datos!K19/Datos!J19," - ")</f>
        <v>1.1087662337662338</v>
      </c>
      <c r="BH19" s="900">
        <f>IF(ISNUMBER(((Datos!L19/Datos!K19)*11)/factor_trimestre),((Datos!L19/Datos!K19)*11)/factor_trimestre," - ")</f>
        <v>4.5329428989751097</v>
      </c>
      <c r="BI19" s="896">
        <f>SUBTOTAL(9,BI15:BI18)</f>
        <v>0.12463343108504399</v>
      </c>
      <c r="BJ19" s="896">
        <f>SUBTOTAL(9,BJ15:BJ18)</f>
        <v>0</v>
      </c>
      <c r="BK19" s="896">
        <f>SUBTOTAL(9,BK15:BK18)</f>
        <v>0</v>
      </c>
      <c r="BL19" s="896">
        <f>IF(ISNUMBER((I19-AB19+L19)/(F19)),(I19-AB19+L19)/(F19)," - ")</f>
        <v>-0.62260711030082039</v>
      </c>
      <c r="BM19" s="902">
        <f>IF(ISNUMBER((Datos!P19-Datos!Q19)/(Datos!R19-Datos!P19+Datos!Q19)),(Datos!P19-Datos!Q19)/(Datos!R19-Datos!P19+Datos!Q19)," - ")</f>
        <v>-5.8139534883720929E-2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1097</v>
      </c>
      <c r="G20" s="817">
        <f t="shared" si="7"/>
        <v>1099</v>
      </c>
      <c r="H20" s="819">
        <f t="shared" si="7"/>
        <v>0</v>
      </c>
      <c r="I20" s="817">
        <f t="shared" si="7"/>
        <v>0</v>
      </c>
      <c r="J20" s="819">
        <f t="shared" si="7"/>
        <v>0</v>
      </c>
      <c r="K20" s="819">
        <f t="shared" si="7"/>
        <v>0</v>
      </c>
      <c r="L20" s="878">
        <f t="shared" si="7"/>
        <v>0</v>
      </c>
      <c r="M20" s="878">
        <f t="shared" si="7"/>
        <v>0</v>
      </c>
      <c r="N20" s="878">
        <f t="shared" si="7"/>
        <v>86</v>
      </c>
      <c r="O20" s="878">
        <f t="shared" si="7"/>
        <v>0</v>
      </c>
      <c r="P20" s="878">
        <f t="shared" si="7"/>
        <v>0</v>
      </c>
      <c r="Q20" s="819">
        <f t="shared" si="7"/>
        <v>244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683</v>
      </c>
      <c r="AC20" s="818">
        <f t="shared" si="8"/>
        <v>208</v>
      </c>
      <c r="AD20" s="818">
        <f t="shared" si="8"/>
        <v>0</v>
      </c>
      <c r="AE20" s="818">
        <f t="shared" si="8"/>
        <v>0</v>
      </c>
      <c r="AF20" s="825">
        <f t="shared" si="8"/>
        <v>1032</v>
      </c>
      <c r="AG20" s="825">
        <f t="shared" si="8"/>
        <v>0</v>
      </c>
      <c r="AH20" s="825">
        <f t="shared" si="8"/>
        <v>137</v>
      </c>
      <c r="AI20" s="825">
        <f t="shared" si="8"/>
        <v>0</v>
      </c>
      <c r="AJ20" s="818">
        <f t="shared" si="8"/>
        <v>0</v>
      </c>
      <c r="AK20" s="825">
        <f t="shared" si="8"/>
        <v>0</v>
      </c>
      <c r="AL20" s="825">
        <f t="shared" si="8"/>
        <v>0</v>
      </c>
      <c r="AM20" s="825">
        <f t="shared" si="8"/>
        <v>5040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300</v>
      </c>
      <c r="BD20" s="817">
        <f t="shared" si="8"/>
        <v>752</v>
      </c>
      <c r="BE20" s="817">
        <f t="shared" si="8"/>
        <v>0</v>
      </c>
      <c r="BF20" s="827">
        <f t="shared" si="8"/>
        <v>0</v>
      </c>
      <c r="BG20" s="912">
        <f>IF(ISNUMBER(Datos!K20/Datos!J20),Datos!K20/Datos!J20," - ")</f>
        <v>0.84588235294117642</v>
      </c>
      <c r="BH20" s="912">
        <f>IF(ISNUMBER(((Datos!L20/Datos!K20)*11)/factor_trimestre),((Datos!L20/Datos!K20)*11)/factor_trimestre," - ")</f>
        <v>8.9102920723226706</v>
      </c>
      <c r="BI20" s="810">
        <f>IF(ISNUMBER(Datos!J20/Datos!I20),Datos!J20/Datos!I20," - ")</f>
        <v>0.42404589673235221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-0.62260711030082039</v>
      </c>
      <c r="BM20" s="886">
        <f>IF(ISNUMBER((Datos!P20-Datos!Q20+R20)/(Datos!R20-Datos!P20+Datos!Q20-R20)),(Datos!P20-Datos!Q20+R20)/(Datos!R20-Datos!P20+Datos!Q20-R20)," - ")</f>
        <v>7.1942446043165471E-3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439.6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633.35324530101946</v>
      </c>
      <c r="G22" s="551">
        <f>IF(ISNUMBER(STDEV(G8:G19)),STDEV(G8:G19),"-")</f>
        <v>601.03519031750545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373.63846161764451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96.850400102426008</v>
      </c>
      <c r="BD22" s="550"/>
      <c r="BE22" s="550">
        <f>IF(ISNUMBER(STDEV(BE8:BE19)),STDEV(BE8:BE19),"-")</f>
        <v>0</v>
      </c>
      <c r="BF22" s="555">
        <f>IF(ISNUMBER(STDEV(BF8:BF19)),STDEV(BF8:BF19),"-")</f>
        <v>0</v>
      </c>
      <c r="BG22" s="772">
        <f>IF(ISNUMBER(STDEV(BG8:BG19)),STDEV(BG8:BG19),"-")</f>
        <v>0.23270360752707822</v>
      </c>
      <c r="BH22" s="773">
        <f>IF(ISNUMBER(STDEV(BH8:BH19)),STDEV(BH8:BH19),"-")</f>
        <v>4.6924400937291804</v>
      </c>
      <c r="BI22" s="248">
        <f>IF(ISNUMBER(STDEV(BI8:BI19)),STDEV(BI8:BI19),"-")</f>
        <v>0.10514459075008137</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1+kmPu3bxE53vGHdhcOjTfXiKZbj4uqLuR5+1wCQuTXBFQKpIoo0agYE7msiefYB6BNyYIkL7CifA36mVhupg==" saltValue="ckBOR1cmhvMa4d0r6ZCZw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MONTCADA-MONCADA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0.25748502994011974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0.18206941072467989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Noa7um4pJQe8Ul/ODt7blLvElCXv516q+G0waxtgQSZvl//iq5bwOoobo1bnSISAqWqO2oSbI0iwk+Z55NZyA==" saltValue="6C9Q4RxJI2/RsexllRzYf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MONTCADA-MONCADA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B1vhVhaMgHflW5E7YtJdpcG7j4Fosk0zAzsbW24SMe2MKNUMAUVzkiulv7N6v5WZPL4qb4Zg8b5gxaob5VvFQ==" saltValue="F0neU9SESg1eqFCXRRqmR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MONTCADA-MONCADA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8bgfCBGa2Z7vRiLd1WdnEULAAcf4UZdHe3aItazedEjTDpNeVrtQA70JbDWwb+yRQhX0ZQQ4f9/zvFA128GMxQ==" saltValue="XVzL7bvBTt/PBu1FZhSz/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MONTCADA-MONCADA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215</v>
      </c>
      <c r="E12" s="403">
        <f t="shared" si="0"/>
        <v>53.75</v>
      </c>
      <c r="F12" s="402">
        <f>IF(ISNUMBER(Datos!N12),Datos!N12," - ")</f>
        <v>354</v>
      </c>
      <c r="G12" s="403">
        <f t="shared" si="1"/>
        <v>88.5</v>
      </c>
      <c r="H12" s="402">
        <f>IF(ISNUMBER(Datos!O12),Datos!O12," - ")</f>
        <v>302</v>
      </c>
      <c r="I12" s="403">
        <f t="shared" si="2"/>
        <v>75.5</v>
      </c>
      <c r="BZ12" s="1181">
        <f>Datos!EZ12</f>
        <v>0</v>
      </c>
    </row>
    <row r="13" spans="1:78" ht="14.25" thickTop="1" thickBot="1">
      <c r="A13" s="845" t="str">
        <f>Datos!A13</f>
        <v>TOTAL</v>
      </c>
      <c r="B13" s="846">
        <f>Datos!AP13</f>
        <v>4</v>
      </c>
      <c r="C13" s="848">
        <f>Datos!AR13</f>
        <v>4</v>
      </c>
      <c r="D13" s="846">
        <f>SUBTOTAL(9,D9:D12)</f>
        <v>215</v>
      </c>
      <c r="E13" s="847">
        <f t="shared" si="0"/>
        <v>53.75</v>
      </c>
      <c r="F13" s="846">
        <f>SUBTOTAL(9,F9:F12)</f>
        <v>354</v>
      </c>
      <c r="G13" s="847">
        <f t="shared" si="1"/>
        <v>88.5</v>
      </c>
      <c r="H13" s="846">
        <f>SUBTOTAL(9,H9:H12)</f>
        <v>302</v>
      </c>
      <c r="I13" s="847">
        <f>IF(ISNUMBER(H13/B13),H13/B13," - ")</f>
        <v>75.5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85</v>
      </c>
      <c r="E17" s="403">
        <f t="shared" si="3"/>
        <v>21.25</v>
      </c>
      <c r="F17" s="402">
        <f>IF(ISNUMBER(Datos!N17),Datos!N17," - ")</f>
        <v>398</v>
      </c>
      <c r="G17" s="403">
        <f t="shared" si="4"/>
        <v>99.5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85</v>
      </c>
      <c r="E19" s="847">
        <f t="shared" si="3"/>
        <v>21.25</v>
      </c>
      <c r="F19" s="846">
        <f>SUBTOTAL(9,F15:F18)</f>
        <v>398</v>
      </c>
      <c r="G19" s="847">
        <f t="shared" si="4"/>
        <v>99.5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300</v>
      </c>
      <c r="E20" s="792">
        <f>IF(ISNUMBER(D20/B20),D20/B20," - ")</f>
        <v>75</v>
      </c>
      <c r="F20" s="791">
        <f>SUBTOTAL(9,F8:F19)</f>
        <v>752</v>
      </c>
      <c r="G20" s="792">
        <f>IF(ISNUMBER(F20/B20),F20/B20," - ")</f>
        <v>188</v>
      </c>
      <c r="H20" s="791">
        <f>SUBTOTAL(9,H8:H19)</f>
        <v>302</v>
      </c>
      <c r="I20" s="792">
        <f>IF(ISNUMBER(H20/B20),H20/B20," - ")</f>
        <v>75.5</v>
      </c>
    </row>
    <row r="23" spans="1:78">
      <c r="A23" s="390" t="str">
        <f>Criterios!A4</f>
        <v>Fecha Informe: 18 jun. 2026</v>
      </c>
    </row>
    <row r="28" spans="1:78">
      <c r="A28" s="413"/>
    </row>
  </sheetData>
  <sheetProtection algorithmName="SHA-512" hashValue="5jQFH4mo81zpKYWy1eru1gtYljWbSG+xuQKlD+MWCpINisBkFoknyjds9mvPAdU/ShWyxIEje6HlmL7kBjCgbg==" saltValue="I0Zg5Lvxy5nO82N7T8Zg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MONTCADA-MONCADA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237</v>
      </c>
      <c r="C12" s="433">
        <f>IF(ISNUMBER(Datos!Q12),Datos!Q12," - ")</f>
        <v>191</v>
      </c>
      <c r="D12" s="407">
        <f>IF(ISNUMBER(Datos!R12),Datos!R12," - ")</f>
        <v>4878</v>
      </c>
    </row>
    <row r="13" spans="1:4" ht="14.25" thickTop="1" thickBot="1">
      <c r="A13" s="845" t="str">
        <f>Datos!A13</f>
        <v>TOTAL</v>
      </c>
      <c r="B13" s="846">
        <f>SUBTOTAL(9,B9:B12)</f>
        <v>237</v>
      </c>
      <c r="C13" s="850">
        <f>SUBTOTAL(9,C9:C12)</f>
        <v>191</v>
      </c>
      <c r="D13" s="848">
        <f>SUBTOTAL(9,D9:D12)</f>
        <v>4878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17</v>
      </c>
      <c r="D17" s="407">
        <f>IF(ISNUMBER(Datos!R17),Datos!R17," - ")</f>
        <v>162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7</v>
      </c>
      <c r="C19" s="850">
        <f>SUBTOTAL(9,C15:C18)</f>
        <v>17</v>
      </c>
      <c r="D19" s="848">
        <f>SUBTOTAL(9,D15:D18)</f>
        <v>162</v>
      </c>
    </row>
    <row r="20" spans="1:4" ht="16.5" customHeight="1" thickTop="1" thickBot="1">
      <c r="A20" s="790" t="str">
        <f>Datos!A20</f>
        <v>TOTAL JURISDICCIONES</v>
      </c>
      <c r="B20" s="795">
        <f>SUBTOTAL(9,B8:B19)</f>
        <v>244</v>
      </c>
      <c r="C20" s="796">
        <f>SUBTOTAL(9,C8:C19)</f>
        <v>208</v>
      </c>
      <c r="D20" s="797">
        <f>SUBTOTAL(9,D8:D19)</f>
        <v>5040</v>
      </c>
    </row>
    <row r="21" spans="1:4" ht="7.5" customHeight="1"/>
    <row r="22" spans="1:4" ht="6" customHeight="1"/>
    <row r="23" spans="1:4">
      <c r="A23" s="390" t="str">
        <f>Criterios!A4</f>
        <v>Fecha Informe: 18 jun. 2026</v>
      </c>
    </row>
    <row r="28" spans="1:4">
      <c r="A28" s="413"/>
    </row>
  </sheetData>
  <sheetProtection algorithmName="SHA-512" hashValue="gz0pgNisrluYsz1wa8908wJ63ZVbApeawj/6847X5svVTxDNXSQcVae8kzKyjihQf8SDII4Jv/qmhxwCv0K4vQ==" saltValue="FahTitx9P/0Q/kKABG85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MONTCADA-MONCADA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-4.3409877319911923E-2</v>
      </c>
      <c r="C12" s="455">
        <f>IF(ISNUMBER(
   IF(J_V="SI",(Datos!J12-Datos!T12)/Datos!T12,(Datos!J12+Datos!Z12-(Datos!T12+Datos!AH12))/(Datos!T12+Datos!AH12))
     ),IF(J_V="SI",(Datos!J12-Datos!T12)/Datos!T12,(Datos!J12+Datos!Z12-(Datos!T12+Datos!AH12))/(Datos!T12+Datos!AH12))," - ")</f>
        <v>-7.874015748031496E-2</v>
      </c>
      <c r="D12" s="455">
        <f>IF(ISNUMBER(
   IF(J_V="SI",(Datos!K12-Datos!U12)/Datos!U12,(Datos!K12+Datos!AA12-(Datos!U12+Datos!AI12))/(Datos!U12+Datos!AI12))
     ),IF(J_V="SI",(Datos!K12-Datos!U12)/Datos!U12,(Datos!K12+Datos!AA12-(Datos!U12+Datos!AI12))/(Datos!U12+Datos!AI12))," - ")</f>
        <v>-0.35120435120435123</v>
      </c>
      <c r="E12" s="455">
        <f>IF(ISNUMBER(
   IF(J_V="SI",(Datos!L12-Datos!V12)/Datos!V12,(Datos!L12+Datos!AB12-(Datos!V12+Datos!AJ12))/(Datos!V12+Datos!AJ12))
     ),IF(J_V="SI",(Datos!L12-Datos!V12)/Datos!V12,(Datos!L12+Datos!AB12-(Datos!V12+Datos!AJ12))/(Datos!V12+Datos!AJ12))," - ")</f>
        <v>6.7678684376976592E-2</v>
      </c>
      <c r="F12" s="455">
        <f>IF(ISNUMBER((Datos!M12-Datos!W12)/Datos!W12),(Datos!M12-Datos!W12)/Datos!W12," - ")</f>
        <v>-0.328125</v>
      </c>
      <c r="G12" s="456">
        <f>IF(ISNUMBER((Datos!N12-Datos!X12)/Datos!X12),(Datos!N12-Datos!X12)/Datos!X12," - ")</f>
        <v>-0.45201238390092879</v>
      </c>
      <c r="H12" s="454">
        <f>IF(ISNUMBER(((NºAsuntos!G12/NºAsuntos!E12)-Datos!BD12)/Datos!BD12),((NºAsuntos!G12/NºAsuntos!E12)-Datos!BD12)/Datos!BD12," - ")</f>
        <v>-0.29575173164916757</v>
      </c>
      <c r="I12" s="455">
        <f>IF(ISNUMBER(((NºAsuntos!I12/NºAsuntos!G12)-Datos!BE12)/Datos!BE12),((NºAsuntos!I12/NºAsuntos!G12)-Datos!BE12)/Datos!BE12," - ")</f>
        <v>0.64563169675828613</v>
      </c>
      <c r="J12" s="460">
        <f>IF(ISNUMBER((('Resol  Asuntos'!D12/NºAsuntos!G12)-Datos!BF12)/Datos!BF12),(('Resol  Asuntos'!D12/NºAsuntos!G12)-Datos!BF12)/Datos!BF12," - ")</f>
        <v>-0.48702285830815151</v>
      </c>
      <c r="K12" s="461">
        <f>IF(ISNUMBER((((NºAsuntos!C12+NºAsuntos!E12)/NºAsuntos!G12)-Datos!BG12)/Datos!BG12),(((NºAsuntos!C12+NºAsuntos!E12)/NºAsuntos!G12)-Datos!BG12)/Datos!BG12," - ")</f>
        <v>0.45886433471559918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-4.3710691823899368E-2</v>
      </c>
      <c r="C13" s="852">
        <f>IF(ISNUMBER(
   IF(J_V="SI",(Datos!J13-Datos!T13)/Datos!T13,(Datos!J13+Datos!Z13-(Datos!T13+Datos!AH13))/(Datos!T13+Datos!AH13))
     ),IF(J_V="SI",(Datos!J13-Datos!T13)/Datos!T13,(Datos!J13+Datos!Z13-(Datos!T13+Datos!AH13))/(Datos!T13+Datos!AH13))," - ")</f>
        <v>-7.874015748031496E-2</v>
      </c>
      <c r="D13" s="852">
        <f>IF(ISNUMBER(
   IF(J_V="SI",(Datos!K13-Datos!U13)/Datos!U13,(Datos!K13+Datos!AA13-(Datos!U13+Datos!AI13))/(Datos!U13+Datos!AI13))
     ),IF(J_V="SI",(Datos!K13-Datos!U13)/Datos!U13,(Datos!K13+Datos!AA13-(Datos!U13+Datos!AI13))/(Datos!U13+Datos!AI13))," - ")</f>
        <v>-0.35120435120435123</v>
      </c>
      <c r="E13" s="852">
        <f>IF(ISNUMBER(
   IF(J_V="SI",(Datos!L13-Datos!V13)/Datos!V13,(Datos!L13+Datos!AB13-(Datos!V13+Datos!AJ13))/(Datos!V13+Datos!AJ13))
     ),IF(J_V="SI",(Datos!L13-Datos!V13)/Datos!V13,(Datos!L13+Datos!AB13-(Datos!V13+Datos!AJ13))/(Datos!V13+Datos!AJ13))," - ")</f>
        <v>6.7341131836863743E-2</v>
      </c>
      <c r="F13" s="853">
        <f>IF(ISNUMBER((Datos!M13-Datos!W13)/Datos!W13),(Datos!M13-Datos!W13)/Datos!W13," - ")</f>
        <v>-0.328125</v>
      </c>
      <c r="G13" s="854">
        <f>IF(ISNUMBER((Datos!N13-Datos!X13)/Datos!X13),(Datos!N13-Datos!X13)/Datos!X13," - ")</f>
        <v>-0.45201238390092879</v>
      </c>
      <c r="H13" s="854">
        <f>IF(ISNUMBER(((NºAsuntos!G13/NºAsuntos!E13)-Datos!BD13)/Datos!BD13),((NºAsuntos!G13/NºAsuntos!E13)-Datos!BD13)/Datos!BD13," - ")</f>
        <v>-0.29575173164916757</v>
      </c>
      <c r="I13" s="854">
        <f>IF(ISNUMBER(((NºAsuntos!I13/NºAsuntos!G13)-Datos!BE13)/Datos!BE13),((NºAsuntos!I13/NºAsuntos!G13)-Datos!BE13)/Datos!BE13," - ")</f>
        <v>0.64511142116651954</v>
      </c>
      <c r="J13" s="854">
        <f>IF(ISNUMBER((('Resol  Asuntos'!D13/NºAsuntos!G13)-Datos!BF13)/Datos!BF13),(('Resol  Asuntos'!D13/NºAsuntos!G13)-Datos!BF13)/Datos!BF13," - ")</f>
        <v>-0.48702285830815151</v>
      </c>
      <c r="K13" s="854">
        <f>IF(ISNUMBER((((NºAsuntos!C13+NºAsuntos!E13)/NºAsuntos!G13)-Datos!BG13)/Datos!BG13),(((NºAsuntos!C13+NºAsuntos!E13)/NºAsuntos!G13)-Datos!BG13)/Datos!BG13," - ")</f>
        <v>0.45853650003364077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-3.6874451273046532E-2</v>
      </c>
      <c r="C17" s="455">
        <f>IF(ISNUMBER(
   IF(D_I="SI",(Datos!J17-Datos!T17)/Datos!T17,(Datos!J17+Datos!AD17-(Datos!T17+Datos!AL17))/(Datos!T17+Datos!AL17))
     ),IF(D_I="SI",(Datos!J17-Datos!T17)/Datos!T17,(Datos!J17+Datos!AD17-(Datos!T17+Datos!AL17))/(Datos!T17+Datos!AL17))," - ")</f>
        <v>-0.30786516853932583</v>
      </c>
      <c r="D17" s="455">
        <f>IF(ISNUMBER(
   IF(D_I="SI",(Datos!K17-Datos!U17)/Datos!U17,(Datos!K17+Datos!AE17-(Datos!U17+Datos!AM17))/(Datos!U17+Datos!AM17))
     ),IF(D_I="SI",(Datos!K17-Datos!U17)/Datos!U17,(Datos!K17+Datos!AE17-(Datos!U17+Datos!AM17))/(Datos!U17+Datos!AM17))," - ")</f>
        <v>-0.14643304130162704</v>
      </c>
      <c r="E17" s="455">
        <f>IF(ISNUMBER(
   IF(D_I="SI",(Datos!L17-Datos!V17)/Datos!V17,(Datos!L17+Datos!AF17-(Datos!V17+Datos!AN17))/(Datos!V17+Datos!AN17))
     ),IF(D_I="SI",(Datos!L17-Datos!V17)/Datos!V17,(Datos!L17+Datos!AF17-(Datos!V17+Datos!AN17))/(Datos!V17+Datos!AN17))," - ")</f>
        <v>-0.16178861788617885</v>
      </c>
      <c r="F17" s="455">
        <f>IF(ISNUMBER((Datos!M17-Datos!W17)/Datos!W17),(Datos!M17-Datos!W17)/Datos!W17," - ")</f>
        <v>-0.22727272727272727</v>
      </c>
      <c r="G17" s="456">
        <f>IF(ISNUMBER((Datos!N17-Datos!X17)/Datos!X17),(Datos!N17-Datos!X17)/Datos!X17," - ")</f>
        <v>-0.20240480961923848</v>
      </c>
      <c r="H17" s="454">
        <f>IF(ISNUMBER(((NºAsuntos!G17/NºAsuntos!E17)-Datos!BD17)/Datos!BD17),((NºAsuntos!G17/NºAsuntos!E17)-Datos!BD17)/Datos!BD17," - ")</f>
        <v>0.23323797604148044</v>
      </c>
      <c r="I17" s="455">
        <f>IF(ISNUMBER(((NºAsuntos!I17/NºAsuntos!G17)-Datos!BE17)/Datos!BE17),((NºAsuntos!I17/NºAsuntos!G17)-Datos!BE17)/Datos!BE17," - ")</f>
        <v>-1.7989891042605483E-2</v>
      </c>
      <c r="J17" s="460">
        <f>IF(ISNUMBER((('Resol  Asuntos'!D17/NºAsuntos!G17)-Datos!BF17)/Datos!BF17),(('Resol  Asuntos'!D17/NºAsuntos!G17)-Datos!BF17)/Datos!BF17," - ")</f>
        <v>-9.4708077845907818E-2</v>
      </c>
      <c r="K17" s="461">
        <f>IF(ISNUMBER((((NºAsuntos!C17+NºAsuntos!E17)/NºAsuntos!G17)-Datos!BG17)/Datos!BG17),(((NºAsuntos!C17+NºAsuntos!E17)/NºAsuntos!G17)-Datos!BG17)/Datos!BG17," - ")</f>
        <v>-1.0905651050963316E-2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-0.89473684210526316</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-0.92307692307692313</v>
      </c>
      <c r="E18" s="455">
        <f>IF(ISNUMBER(
   IF(D_I="SI",(Datos!L18-Datos!V18)/Datos!V18,(Datos!L18+Datos!AF18-(Datos!V18+Datos!AN18))/(Datos!V18+Datos!AN18))
     ),IF(D_I="SI",(Datos!L18-Datos!V18)/Datos!V18,(Datos!L18+Datos!AF18-(Datos!V18+Datos!AN18))/(Datos!V18+Datos!AN18))," - ")</f>
        <v>-0.83333333333333337</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1.1666666666666665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0.36842105263157904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-5.0949913644214161E-2</v>
      </c>
      <c r="C19" s="852">
        <f>IF(ISNUMBER(
   IF(Criterios!B14="SI",(Datos!J19-Datos!T19)/Datos!T19,(Datos!J19+Datos!AD19-(Datos!T19+Datos!AL19))/(Datos!T19+Datos!AL19))
     ),IF(Criterios!B14="SI",(Datos!J19-Datos!T19)/Datos!T19,(Datos!J19+Datos!AD19-(Datos!T19+Datos!AL19))/(Datos!T19+Datos!AL19))," - ")</f>
        <v>-0.30786516853932583</v>
      </c>
      <c r="D19" s="852">
        <f>IF(ISNUMBER(
   IF(Criterios!B14="SI",(Datos!K19-Datos!U19)/Datos!U19,(Datos!K19+Datos!AE19-(Datos!U19+Datos!AM19))/(Datos!U19+Datos!AM19))
     ),IF(Criterios!B14="SI",(Datos!K19-Datos!U19)/Datos!U19,(Datos!K19+Datos!AE19-(Datos!U19+Datos!AM19))/(Datos!U19+Datos!AM19))," - ")</f>
        <v>-0.15886699507389163</v>
      </c>
      <c r="E19" s="852">
        <f>IF(ISNUMBER(
   IF(Criterios!B14="SI",(Datos!L19-Datos!V19)/Datos!V19,(Datos!L19+Datos!AF19-(Datos!V19+Datos!AN19))/(Datos!V19+Datos!AN19))
     ),IF(Criterios!B14="SI",(Datos!L19-Datos!V19)/Datos!V19,(Datos!L19+Datos!AF19-(Datos!V19+Datos!AN19))/(Datos!V19+Datos!AN19))," - ")</f>
        <v>-0.1650485436893204</v>
      </c>
      <c r="F19" s="853">
        <f>IF(ISNUMBER((Datos!M19-Datos!W19)/Datos!W19),(Datos!M19-Datos!W19)/Datos!W19," - ")</f>
        <v>-0.22727272727272727</v>
      </c>
      <c r="G19" s="854">
        <f>IF(ISNUMBER((Datos!N19-Datos!X19)/Datos!X19),(Datos!N19-Datos!X19)/Datos!X19," - ")</f>
        <v>-0.21653543307086615</v>
      </c>
      <c r="H19" s="854">
        <f>IF(ISNUMBER(((NºAsuntos!G19/NºAsuntos!E19)-Datos!BD19)/Datos!BD19),((NºAsuntos!G19/NºAsuntos!E19)-Datos!BD19)/Datos!BD19," - ")</f>
        <v>0.21527333503934501</v>
      </c>
      <c r="I19" s="854">
        <f>IF(ISNUMBER(((NºAsuntos!I19/NºAsuntos!G19)-Datos!BE19)/Datos!BE19),((NºAsuntos!I19/NºAsuntos!G19)-Datos!BE19)/Datos!BE19," - ")</f>
        <v>-7.349073902969472E-3</v>
      </c>
      <c r="J19" s="854">
        <f>IF(ISNUMBER((('Resol  Asuntos'!D19/NºAsuntos!G19)-Datos!BF19)/Datos!BF19),(('Resol  Asuntos'!D19/NºAsuntos!G19)-Datos!BF19)/Datos!BF19," - ")</f>
        <v>-8.132570211633168E-2</v>
      </c>
      <c r="K19" s="854">
        <f>IF(ISNUMBER((((NºAsuntos!C19+NºAsuntos!E19)/NºAsuntos!G19)-Datos!BG19)/Datos!BG19),(((NºAsuntos!C19+NºAsuntos!E19)/NºAsuntos!G19)-Datos!BG19)/Datos!BG19," - ")</f>
        <v>-4.4352809297218982E-3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-4.5643153526970952E-2</v>
      </c>
      <c r="C20" s="799">
        <f>IF(ISNUMBER(
   IF(J_V="SI",(Datos!J20-Datos!T20)/Datos!T20,(Datos!J20+Datos!Z20-(Datos!T20+Datos!AH20))/(Datos!T20+Datos!AH20))
     ),IF(J_V="SI",(Datos!J20-Datos!T20)/Datos!T20,(Datos!J20+Datos!Z20-(Datos!T20+Datos!AH20))/(Datos!T20+Datos!AH20))," - ")</f>
        <v>-0.17314814814814813</v>
      </c>
      <c r="D20" s="799">
        <f>IF(ISNUMBER(
   IF(J_V="SI",(Datos!K20-Datos!U20)/Datos!U20,(Datos!K20+Datos!AA20-(Datos!U20+Datos!AI20))/(Datos!U20+Datos!AI20))
     ),IF(J_V="SI",(Datos!K20-Datos!U20)/Datos!U20,(Datos!K20+Datos!AA20-(Datos!U20+Datos!AI20))/(Datos!U20+Datos!AI20))," - ")</f>
        <v>-0.27679847546450692</v>
      </c>
      <c r="E20" s="799">
        <f>IF(ISNUMBER(
   IF(J_V="SI",(Datos!L20-Datos!V20)/Datos!V20,(Datos!L20+Datos!AB20-(Datos!V20+Datos!AJ20))/(Datos!V20+Datos!AJ20))
     ),IF(J_V="SI",(Datos!L20-Datos!V20)/Datos!V20,(Datos!L20+Datos!AB20-(Datos!V20+Datos!AJ20))/(Datos!V20+Datos!AJ20))," - ")</f>
        <v>2.0459195271652648E-3</v>
      </c>
      <c r="F20" s="800">
        <f>IF(ISNUMBER((Datos!M20-Datos!W20)/Datos!W20),(Datos!M20-Datos!W20)/Datos!W20," - ")</f>
        <v>-0.30232558139534882</v>
      </c>
      <c r="G20" s="801">
        <f>IF(ISNUMBER((Datos!N20-Datos!X20)/Datos!X20),(Datos!N20-Datos!X20)/Datos!X20," - ")</f>
        <v>-0.34835355285961872</v>
      </c>
      <c r="H20" s="802">
        <f>IF(ISNUMBER((Tasas!B20-Datos!BD20)/Datos!BD20),(Tasas!B20-Datos!BD20)/Datos!BD20," - ")</f>
        <v>-0.12535537906121777</v>
      </c>
      <c r="I20" s="803">
        <f>IF(ISNUMBER((Tasas!C20-Datos!BE20)/Datos!BE20),(Tasas!C20-Datos!BE20)/Datos!BE20," - ")</f>
        <v>0.38556942364131735</v>
      </c>
      <c r="J20" s="804">
        <f>IF(ISNUMBER((Tasas!D20-Datos!BF20)/Datos!BF20),(Tasas!D20-Datos!BF20)/Datos!BF20," - ")</f>
        <v>-0.45129347303260348</v>
      </c>
      <c r="K20" s="804">
        <f>IF(ISNUMBER((Tasas!E20-Datos!BG20)/Datos!BG20),(Tasas!E20-Datos!BG20)/Datos!BG20," - ")</f>
        <v>0.26102183665714912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D5V26p0mXGCexGUSrFKTdwq2GuJV7CwOfG9KsY1Mx+4g9vKgRr3ADAhBKxpxLEzIjqaww3LY9K6Hy6xuzkz2w==" saltValue="MkraKNr5N6fnNMq96besU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MONTCADA-MONCADA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0.71367521367521369</v>
      </c>
      <c r="C12" s="442">
        <f>IF(ISNUMBER(NºAsuntos!I12/NºAsuntos!G12),NºAsuntos!I12/NºAsuntos!G12," - ")</f>
        <v>4.0431137724550901</v>
      </c>
      <c r="D12" s="443">
        <f>IF(ISNUMBER('Resol  Asuntos'!D12/NºAsuntos!G12),'Resol  Asuntos'!D12/NºAsuntos!G12," - ")</f>
        <v>0.25748502994011974</v>
      </c>
      <c r="E12" s="444">
        <f>IF(ISNUMBER((NºAsuntos!C12+NºAsuntos!E12)/NºAsuntos!G12),(NºAsuntos!C12+NºAsuntos!E12)/NºAsuntos!G12," - ")</f>
        <v>5.0431137724550901</v>
      </c>
      <c r="G12" s="462"/>
    </row>
    <row r="13" spans="1:7" ht="14.25" thickTop="1" thickBot="1">
      <c r="A13" s="845" t="str">
        <f>Datos!A13</f>
        <v>TOTAL</v>
      </c>
      <c r="B13" s="855">
        <f>IF(ISNUMBER(NºAsuntos!G13/NºAsuntos!E13),NºAsuntos!G13/NºAsuntos!E13," - ")</f>
        <v>0.71367521367521369</v>
      </c>
      <c r="C13" s="856">
        <f>IF(ISNUMBER(NºAsuntos!I13/NºAsuntos!G13),NºAsuntos!I13/NºAsuntos!G13," - ")</f>
        <v>4.0431137724550901</v>
      </c>
      <c r="D13" s="857">
        <f>IF(ISNUMBER('Resol  Asuntos'!D13/NºAsuntos!G13),'Resol  Asuntos'!D13/NºAsuntos!G13," - ")</f>
        <v>0.25748502994011974</v>
      </c>
      <c r="E13" s="858">
        <f>IF(ISNUMBER((NºAsuntos!C13+NºAsuntos!E13)/NºAsuntos!G13),(NºAsuntos!C13+NºAsuntos!E13)/NºAsuntos!G13," - ")</f>
        <v>5.0431137724550901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1.1071428571428572</v>
      </c>
      <c r="C17" s="442">
        <f>IF(ISNUMBER(NºAsuntos!I17/NºAsuntos!G17),NºAsuntos!I17/NºAsuntos!G17," - ")</f>
        <v>1.5117302052785924</v>
      </c>
      <c r="D17" s="443">
        <f>IF(ISNUMBER('Resol  Asuntos'!D17/NºAsuntos!G17),'Resol  Asuntos'!D17/NºAsuntos!G17," - ")</f>
        <v>0.12463343108504399</v>
      </c>
      <c r="E17" s="444">
        <f>IF(ISNUMBER((NºAsuntos!C17+NºAsuntos!E17)/NºAsuntos!G17),(NºAsuntos!C17+NºAsuntos!E17)/NºAsuntos!G17," - ")</f>
        <v>2.5117302052785924</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v>
      </c>
      <c r="D18" s="443">
        <f>IF(ISNUMBER('Resol  Asuntos'!D18/NºAsuntos!G18),'Resol  Asuntos'!D18/NºAsuntos!G18," - ")</f>
        <v>0</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1.1087662337662338</v>
      </c>
      <c r="C19" s="856">
        <f>IF(ISNUMBER(NºAsuntos!I19/NºAsuntos!G19),NºAsuntos!I19/NºAsuntos!G19," - ")</f>
        <v>1.5109809663250366</v>
      </c>
      <c r="D19" s="859">
        <f>IF(ISNUMBER('Resol  Asuntos'!D19/NºAsuntos!G19),'Resol  Asuntos'!D19/NºAsuntos!G19," - ")</f>
        <v>0.12445095168374817</v>
      </c>
      <c r="E19" s="858">
        <f>IF(ISNUMBER((NºAsuntos!C19+NºAsuntos!E19)/NºAsuntos!G19),(NºAsuntos!C19+NºAsuntos!E19)/NºAsuntos!G19," - ")</f>
        <v>2.5109809663250364</v>
      </c>
      <c r="G19" s="462"/>
    </row>
    <row r="20" spans="1:7" ht="15.75" customHeight="1" thickTop="1" thickBot="1">
      <c r="A20" s="790" t="str">
        <f>Datos!A20</f>
        <v>TOTAL JURISDICCIONES</v>
      </c>
      <c r="B20" s="805">
        <f>IF(ISNUMBER(NºAsuntos!G20/NºAsuntos!E20),NºAsuntos!G20/NºAsuntos!E20," - ")</f>
        <v>0.84994400895856659</v>
      </c>
      <c r="C20" s="806">
        <f>IF(ISNUMBER(NºAsuntos!I20/NºAsuntos!G20),NºAsuntos!I20/NºAsuntos!G20," - ")</f>
        <v>2.9038208168642949</v>
      </c>
      <c r="D20" s="807">
        <f>IF(ISNUMBER('Resol  Asuntos'!D20/NºAsuntos!G20),'Resol  Asuntos'!D20/NºAsuntos!G20," - ")</f>
        <v>0.19762845849802371</v>
      </c>
      <c r="E20" s="808">
        <f>IF(ISNUMBER((NºAsuntos!C20+NºAsuntos!E20)/NºAsuntos!G20),(NºAsuntos!C20+NºAsuntos!E20)/NºAsuntos!G20," - ")</f>
        <v>3.9038208168642949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N4plkqRfUFtzi0qC/39ayHv4Uvhpi2HcOQN3KCSPvlCZzGmJkwi/KW3d/wuqnHZBZNIUIqkkEGbScxKHe1C3A==" saltValue="8GO8HNelbwEci5TmKczFY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MONTCADA-MONCADA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191</v>
      </c>
      <c r="Y12" s="333">
        <f t="shared" si="0"/>
        <v>191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215</v>
      </c>
      <c r="AJ12" s="228" t="str">
        <f>IF(ISNUMBER(Datos!BW12),Datos!BW12," - ")</f>
        <v xml:space="preserve"> - </v>
      </c>
      <c r="AK12" s="227" t="str">
        <f>IF(ISNUMBER(Datos!BX12),Datos!BX12," - ")</f>
        <v xml:space="preserve"> - </v>
      </c>
      <c r="AL12" s="242">
        <f>IF(ISNUMBER(NºAsuntos!G12/NºAsuntos!E12),NºAsuntos!G12/NºAsuntos!E12," - ")</f>
        <v>0.71367521367521369</v>
      </c>
      <c r="AM12" s="259">
        <f>IF(ISNUMBER(((NºAsuntos!I12/NºAsuntos!G12)*11)/factor_trimestre),((NºAsuntos!I12/NºAsuntos!G12)*11)/factor_trimestre," - ")</f>
        <v>12.129341317365272</v>
      </c>
      <c r="AN12" s="243">
        <f>IF(ISNUMBER('Resol  Asuntos'!D12/NºAsuntos!G12),'Resol  Asuntos'!D12/NºAsuntos!G12," - ")</f>
        <v>0.25748502994011974</v>
      </c>
      <c r="AO12" s="244">
        <f>IF(ISNUMBER((NºAsuntos!C12+NºAsuntos!E12)/NºAsuntos!G12),(NºAsuntos!C12+NºAsuntos!E12)/NºAsuntos!G12," - ")</f>
        <v>5.0431137724550901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0</v>
      </c>
      <c r="G13" s="863">
        <f t="shared" si="3"/>
        <v>0</v>
      </c>
      <c r="H13" s="862">
        <f t="shared" si="3"/>
        <v>0</v>
      </c>
      <c r="I13" s="864">
        <f t="shared" si="3"/>
        <v>0</v>
      </c>
      <c r="J13" s="864">
        <f t="shared" si="3"/>
        <v>0</v>
      </c>
      <c r="K13" s="864">
        <f t="shared" si="3"/>
        <v>0</v>
      </c>
      <c r="L13" s="864">
        <f t="shared" si="3"/>
        <v>237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191</v>
      </c>
      <c r="Y13" s="865">
        <f t="shared" si="4"/>
        <v>191</v>
      </c>
      <c r="Z13" s="865">
        <f t="shared" si="4"/>
        <v>0</v>
      </c>
      <c r="AA13" s="865">
        <f t="shared" si="4"/>
        <v>0</v>
      </c>
      <c r="AB13" s="865">
        <f t="shared" si="4"/>
        <v>4878</v>
      </c>
      <c r="AC13" s="865">
        <f t="shared" si="4"/>
        <v>0</v>
      </c>
      <c r="AD13" s="865">
        <f t="shared" si="4"/>
        <v>0</v>
      </c>
      <c r="AE13" s="869">
        <f t="shared" si="4"/>
        <v>0</v>
      </c>
      <c r="AF13" s="862">
        <f t="shared" si="4"/>
        <v>0</v>
      </c>
      <c r="AG13" s="870">
        <f t="shared" si="4"/>
        <v>0</v>
      </c>
      <c r="AH13" s="867">
        <f t="shared" si="4"/>
        <v>0</v>
      </c>
      <c r="AI13" s="862">
        <f t="shared" si="4"/>
        <v>215</v>
      </c>
      <c r="AJ13" s="864">
        <f t="shared" si="4"/>
        <v>0</v>
      </c>
      <c r="AK13" s="867">
        <f>SUBTOTAL(9,AK9:AK12)</f>
        <v>0</v>
      </c>
      <c r="AL13" s="871">
        <f>IF(ISNUMBER(NºAsuntos!G13/NºAsuntos!E13),NºAsuntos!G13/NºAsuntos!E13," - ")</f>
        <v>0.71367521367521369</v>
      </c>
      <c r="AM13" s="871">
        <f>IF(ISNUMBER(((NºAsuntos!I13/NºAsuntos!G13)*11)/factor_trimestre),((NºAsuntos!I13/NºAsuntos!G13)*11)/factor_trimestre," - ")</f>
        <v>12.129341317365272</v>
      </c>
      <c r="AN13" s="872">
        <f>IF(ISNUMBER('Resol  Asuntos'!D13/NºAsuntos!G13),'Resol  Asuntos'!D13/NºAsuntos!G13," - ")</f>
        <v>0.25748502994011974</v>
      </c>
      <c r="AO13" s="873">
        <f>IF(ISNUMBER((NºAsuntos!C13+NºAsuntos!E13)/NºAsuntos!G13),(NºAsuntos!C13+NºAsuntos!E13)/NºAsuntos!G13," - ")</f>
        <v>5.0431137724550901</v>
      </c>
      <c r="AP13" s="874" t="str">
        <f t="shared" si="2"/>
        <v xml:space="preserve"> - </v>
      </c>
      <c r="AQ13" s="874" t="str">
        <f>IF(ISNUMBER((H13-W13+K13)/(F13)),(H13-W13+K13)/(F13)," - ")</f>
        <v xml:space="preserve"> - </v>
      </c>
      <c r="AR13" s="875">
        <f>IF(ISNUMBER((Datos!P13-Datos!Q13)/(Datos!R13-Datos!P13+Datos!Q13)),(Datos!P13-Datos!Q13)/(Datos!R13-Datos!P13+Datos!Q13)," - ")</f>
        <v>9.5198675496688742E-3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1097</v>
      </c>
      <c r="G17" s="332">
        <f>IF(ISNUMBER(IF(D_I="SI",Datos!I17,Datos!I17+Datos!AC17)),IF(D_I="SI",Datos!I17,Datos!I17+Datos!AC17)," - ")</f>
        <v>1097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682</v>
      </c>
      <c r="X17" s="225">
        <f>IF(ISNUMBER(Datos!Q17),Datos!Q17," - ")</f>
        <v>17</v>
      </c>
      <c r="Y17" s="333">
        <f t="shared" ref="Y17:Y18" si="9">SUM(W17:X17)</f>
        <v>699</v>
      </c>
      <c r="Z17" s="334" t="str">
        <f>IF(ISNUMBER(Datos!CC17),Datos!CC17," - ")</f>
        <v xml:space="preserve"> - </v>
      </c>
      <c r="AA17" s="331">
        <f>IF(ISNUMBER(IF(D_I="SI",Datos!L17,Datos!L17+Datos!AF17)),IF(D_I="SI",Datos!L17,Datos!L17+Datos!AF17)," - ")</f>
        <v>1031</v>
      </c>
      <c r="AB17" s="333">
        <f>IF(ISNUMBER(Datos!R17),Datos!R17," - ")</f>
        <v>162</v>
      </c>
      <c r="AC17" s="333">
        <f t="shared" si="6"/>
        <v>1193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85</v>
      </c>
      <c r="AJ17" s="230" t="str">
        <f>IF(ISNUMBER(Datos!BW17),Datos!BW17," - ")</f>
        <v xml:space="preserve"> - </v>
      </c>
      <c r="AK17" s="231" t="str">
        <f>IF(ISNUMBER(Datos!BX17),Datos!BX17," - ")</f>
        <v xml:space="preserve"> - </v>
      </c>
      <c r="AL17" s="242">
        <f>IF(ISNUMBER(NºAsuntos!G17/NºAsuntos!E17),NºAsuntos!G17/NºAsuntos!E17," - ")</f>
        <v>1.1071428571428572</v>
      </c>
      <c r="AM17" s="259">
        <f>IF(ISNUMBER(((NºAsuntos!I17/NºAsuntos!G17)*11)/factor_trimestre),((NºAsuntos!I17/NºAsuntos!G17)*11)/factor_trimestre," - ")</f>
        <v>4.5351906158357771</v>
      </c>
      <c r="AN17" s="243">
        <f>IF(ISNUMBER('Resol  Asuntos'!D17/NºAsuntos!G17),'Resol  Asuntos'!D17/NºAsuntos!G17," - ")</f>
        <v>0.12463343108504399</v>
      </c>
      <c r="AO17" s="244">
        <f>IF(ISNUMBER((NºAsuntos!C17+NºAsuntos!E17)/NºAsuntos!G17),(NºAsuntos!C17+NºAsuntos!E17)/NºAsuntos!G17," - ")</f>
        <v>2.5117302052785924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1</v>
      </c>
      <c r="AB18" s="333">
        <f>IF(ISNUMBER(Datos!R18),Datos!R18," - ")</f>
        <v>0</v>
      </c>
      <c r="AC18" s="333">
        <f t="shared" si="6"/>
        <v>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3</v>
      </c>
      <c r="AN18" s="243">
        <f>IF(ISNUMBER('Resol  Asuntos'!D18/NºAsuntos!G18),'Resol  Asuntos'!D18/NºAsuntos!G18," - ")</f>
        <v>0</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1097</v>
      </c>
      <c r="G19" s="863">
        <f>SUBTOTAL(9,G15:G18)</f>
        <v>1099</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683</v>
      </c>
      <c r="X19" s="864">
        <f t="shared" si="13"/>
        <v>17</v>
      </c>
      <c r="Y19" s="865">
        <f t="shared" si="13"/>
        <v>700</v>
      </c>
      <c r="Z19" s="865">
        <f t="shared" si="13"/>
        <v>0</v>
      </c>
      <c r="AA19" s="865">
        <f t="shared" si="13"/>
        <v>1032</v>
      </c>
      <c r="AB19" s="865">
        <f t="shared" si="13"/>
        <v>162</v>
      </c>
      <c r="AC19" s="865">
        <f t="shared" si="13"/>
        <v>1194</v>
      </c>
      <c r="AD19" s="865">
        <f t="shared" si="13"/>
        <v>0</v>
      </c>
      <c r="AE19" s="869">
        <f t="shared" si="13"/>
        <v>0</v>
      </c>
      <c r="AF19" s="862">
        <f t="shared" si="13"/>
        <v>0</v>
      </c>
      <c r="AG19" s="870">
        <f t="shared" si="13"/>
        <v>0</v>
      </c>
      <c r="AH19" s="867">
        <f t="shared" si="13"/>
        <v>0</v>
      </c>
      <c r="AI19" s="862">
        <f t="shared" si="13"/>
        <v>85</v>
      </c>
      <c r="AJ19" s="864">
        <f t="shared" si="13"/>
        <v>0</v>
      </c>
      <c r="AK19" s="867">
        <f t="shared" si="13"/>
        <v>0</v>
      </c>
      <c r="AL19" s="871">
        <f>IF(ISNUMBER(NºAsuntos!G19/NºAsuntos!E19),NºAsuntos!G19/NºAsuntos!E19," - ")</f>
        <v>1.1087662337662338</v>
      </c>
      <c r="AM19" s="871">
        <f>IF(ISNUMBER(((NºAsuntos!I19/NºAsuntos!G19)*11)/factor_trimestre),((NºAsuntos!I19/NºAsuntos!G19)*11)/factor_trimestre," - ")</f>
        <v>4.5329428989751097</v>
      </c>
      <c r="AN19" s="872">
        <f>IF(ISNUMBER('Resol  Asuntos'!D19/NºAsuntos!G19),'Resol  Asuntos'!D19/NºAsuntos!G19," - ")</f>
        <v>0.12445095168374817</v>
      </c>
      <c r="AO19" s="873">
        <f>IF(ISNUMBER((NºAsuntos!C19+NºAsuntos!E19)/NºAsuntos!G19),(NºAsuntos!C19+NºAsuntos!E19)/NºAsuntos!G19," - ")</f>
        <v>2.5109809663250364</v>
      </c>
      <c r="AP19" s="874" t="str">
        <f t="shared" si="2"/>
        <v xml:space="preserve"> - </v>
      </c>
      <c r="AQ19" s="874">
        <f>IF(ISNUMBER((H19-W19+K19)/(F19)),(H19-W19+K19)/(F19)," - ")</f>
        <v>-0.62260711030082039</v>
      </c>
      <c r="AR19" s="875">
        <f>IF(ISNUMBER((Datos!P19-Datos!Q19)/(Datos!R19-Datos!P19+Datos!Q19)),(Datos!P19-Datos!Q19)/(Datos!R19-Datos!P19+Datos!Q19)," - ")</f>
        <v>-5.8139534883720929E-2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1097</v>
      </c>
      <c r="G20" s="818">
        <f t="shared" si="15"/>
        <v>1099</v>
      </c>
      <c r="H20" s="817">
        <f t="shared" si="15"/>
        <v>0</v>
      </c>
      <c r="I20" s="819">
        <f t="shared" si="15"/>
        <v>0</v>
      </c>
      <c r="J20" s="819">
        <f t="shared" si="15"/>
        <v>0</v>
      </c>
      <c r="K20" s="878">
        <f t="shared" si="15"/>
        <v>0</v>
      </c>
      <c r="L20" s="819">
        <f t="shared" si="15"/>
        <v>244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683</v>
      </c>
      <c r="X20" s="818">
        <f t="shared" si="16"/>
        <v>208</v>
      </c>
      <c r="Y20" s="825">
        <f t="shared" si="16"/>
        <v>891</v>
      </c>
      <c r="Z20" s="825">
        <f t="shared" si="16"/>
        <v>0</v>
      </c>
      <c r="AA20" s="825">
        <f t="shared" si="16"/>
        <v>1032</v>
      </c>
      <c r="AB20" s="825">
        <f t="shared" si="16"/>
        <v>5040</v>
      </c>
      <c r="AC20" s="825">
        <f t="shared" si="16"/>
        <v>1194</v>
      </c>
      <c r="AD20" s="825">
        <f t="shared" si="16"/>
        <v>0</v>
      </c>
      <c r="AE20" s="827">
        <f t="shared" si="16"/>
        <v>0</v>
      </c>
      <c r="AF20" s="828">
        <f t="shared" si="16"/>
        <v>0</v>
      </c>
      <c r="AG20" s="829">
        <f t="shared" si="16"/>
        <v>0</v>
      </c>
      <c r="AH20" s="827">
        <f t="shared" si="16"/>
        <v>0</v>
      </c>
      <c r="AI20" s="817">
        <f t="shared" si="16"/>
        <v>300</v>
      </c>
      <c r="AJ20" s="817">
        <f t="shared" si="16"/>
        <v>0</v>
      </c>
      <c r="AK20" s="827">
        <f t="shared" si="16"/>
        <v>0</v>
      </c>
      <c r="AL20" s="881">
        <f>IF(ISNUMBER(NºAsuntos!G20/NºAsuntos!E20),NºAsuntos!G20/NºAsuntos!E20," - ")</f>
        <v>0.84994400895856659</v>
      </c>
      <c r="AM20" s="882">
        <f>IF(ISNUMBER(((NºAsuntos!I20/NºAsuntos!G20)*11)/factor_trimestre),((NºAsuntos!I20/NºAsuntos!G20)*11)/factor_trimestre," - ")</f>
        <v>8.7114624505928848</v>
      </c>
      <c r="AN20" s="882">
        <f>IF(ISNUMBER('Resol  Asuntos'!D20/NºAsuntos!G20),'Resol  Asuntos'!D20/NºAsuntos!G20," - ")</f>
        <v>0.19762845849802371</v>
      </c>
      <c r="AO20" s="883">
        <f>IF(ISNUMBER((NºAsuntos!C20+NºAsuntos!E20)/NºAsuntos!G20),(NºAsuntos!C20+NºAsuntos!E20)/NºAsuntos!G20," - ")</f>
        <v>3.9038208168642949</v>
      </c>
      <c r="AP20" s="884" t="str">
        <f t="shared" si="2"/>
        <v xml:space="preserve"> - </v>
      </c>
      <c r="AQ20" s="885">
        <f>IF(OR(ISNUMBER(FIND("01",Criterios!A8,1)),ISNUMBER(FIND("02",Criterios!A8,1)),ISNUMBER(FIND("03",Criterios!A8,1)),ISNUMBER(FIND("04",Criterios!A8,1))),(I20-W20+K20)/(F20-K20),(H20-W20+K20)/(F20-K20))</f>
        <v>-0.62260711030082039</v>
      </c>
      <c r="AR20" s="886">
        <f>IF(ISNUMBER((Datos!P20-Datos!Q20)/(Datos!R20-Datos!P20+Datos!Q20)),(Datos!P20-Datos!Q20)/(Datos!R20-Datos!P20+Datos!Q20)," - ")</f>
        <v>7.1942446043165471E-3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439.6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633.35324530101946</v>
      </c>
      <c r="G22" s="252">
        <f>IF(ISNUMBER(STDEV(G8:G19)),STDEV(G8:G19),"-")</f>
        <v>601.03519031750545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373.63846161764451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96.850400102426008</v>
      </c>
      <c r="AJ22" s="251">
        <f t="shared" si="20"/>
        <v>0</v>
      </c>
      <c r="AK22" s="253">
        <f t="shared" si="20"/>
        <v>0</v>
      </c>
      <c r="AL22" s="248">
        <f t="shared" si="20"/>
        <v>0.22763824308478792</v>
      </c>
      <c r="AM22" s="249">
        <f t="shared" si="20"/>
        <v>4.4841346021586377</v>
      </c>
      <c r="AN22" s="249">
        <f t="shared" si="20"/>
        <v>0.10823905780632664</v>
      </c>
      <c r="AO22" s="250">
        <f t="shared" si="20"/>
        <v>1.4947115340528794</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TRUVFIiw1pPJa818VjpYiFdYgH6CLDObzAurZ8M4aFvXOTKn9XbHrAGOfXIGa0/uR4Rft+eAg+0xtEHqR4TdA==" saltValue="cMx3V+er+IWb0sYkt6/K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MONTCADA-MONCADA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-0.328125</v>
      </c>
      <c r="I12" s="349">
        <f>IF(ISNUMBER((Tasas!C12-Datos!BE12)/Datos!BE12),(Tasas!C12-Datos!BE12)/Datos!BE12," - ")</f>
        <v>0.64563169675828613</v>
      </c>
      <c r="J12" s="348">
        <f>IF(ISNUMBER((Tasas!D12-Datos!BF12)/Datos!BF12),(Tasas!D12-Datos!BF12)/Datos!BF12," - ")</f>
        <v>-0.48702285830815151</v>
      </c>
      <c r="K12" s="350">
        <f>IF(ISNUMBER((Tasas!E12-Datos!BG12)/Datos!BG12),(Tasas!E12-Datos!BG12)/Datos!BG12," - ")</f>
        <v>0.45886433471559918</v>
      </c>
      <c r="M12" t="e">
        <f>IF(Monitorios="SI",Datos!CE12,0)</f>
        <v>#REF!</v>
      </c>
      <c r="N12" t="e">
        <f>IF(Monitorios="SI",Datos!CF12,0)</f>
        <v>#REF!</v>
      </c>
      <c r="O12" t="e">
        <f>IF(Monitorios="SI",Datos!CG12,0)</f>
        <v>#REF!</v>
      </c>
      <c r="P12" t="e">
        <f>IF(Monitorios="SI",Datos!CH12,0)</f>
        <v>#REF!</v>
      </c>
      <c r="Q12">
        <f>IF(J_V="SI",0,Datos!AG12)</f>
        <v>122</v>
      </c>
      <c r="R12">
        <f>IF(J_V="SI",0,Datos!AH12)</f>
        <v>62</v>
      </c>
      <c r="S12">
        <f>IF(J_V="SI",0,Datos!AI12)</f>
        <v>63</v>
      </c>
      <c r="T12">
        <f>IF(J_V="SI",0,Datos!AJ12)</f>
        <v>121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-0.328125</v>
      </c>
      <c r="I13" s="356">
        <f>IF(ISNUMBER((Tasas!C13-Datos!BE13)/Datos!BE13),(Tasas!C13-Datos!BE13)/Datos!BE13," - ")</f>
        <v>0.64511142116651954</v>
      </c>
      <c r="J13" s="354">
        <f>IF(ISNUMBER((Tasas!D13-Datos!BF13)/Datos!BF13),(Tasas!D13-Datos!BF13)/Datos!BF13," - ")</f>
        <v>-0.48702285830815151</v>
      </c>
      <c r="K13" s="357">
        <f>IF(ISNUMBER((Tasas!E13-Datos!BG13)/Datos!BG13),(Tasas!E13-Datos!BG13)/Datos!BG13," - ")</f>
        <v>0.45853650003364077</v>
      </c>
      <c r="M13" t="e">
        <f>IF(Monitorios="SI",Datos!CE13,0)</f>
        <v>#REF!</v>
      </c>
      <c r="N13" t="e">
        <f>IF(Monitorios="SI",Datos!CF13,0)</f>
        <v>#REF!</v>
      </c>
      <c r="O13" t="e">
        <f>IF(Monitorios="SI",Datos!CG13,0)</f>
        <v>#REF!</v>
      </c>
      <c r="P13" t="e">
        <f>IF(Monitorios="SI",Datos!CH13,0)</f>
        <v>#REF!</v>
      </c>
      <c r="Q13">
        <f>IF(J_V="SI",0,Datos!AG13)</f>
        <v>122</v>
      </c>
      <c r="R13">
        <f>IF(J_V="SI",0,Datos!AH13)</f>
        <v>62</v>
      </c>
      <c r="S13">
        <f>IF(J_V="SI",0,Datos!AI13)</f>
        <v>63</v>
      </c>
      <c r="T13">
        <f>IF(J_V="SI",0,Datos!AJ13)</f>
        <v>121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-3.6874451273046532E-2</v>
      </c>
      <c r="E17" s="347">
        <f>IF(ISNUMBER(
   IF(D_I="SI",(Datos!J17-Datos!T17)/Datos!T17,(Datos!J17+Datos!AD17-(Datos!T17+Datos!AL17))/(Datos!T17+Datos!AL17))
     ),IF(D_I="SI",(Datos!J17-Datos!T17)/Datos!T17,(Datos!J17+Datos!AD17-(Datos!T17+Datos!AL17))/(Datos!T17+Datos!AL17))," - ")</f>
        <v>-0.30786516853932583</v>
      </c>
      <c r="F17" s="347">
        <f>IF(ISNUMBER(
   IF(D_I="SI",(Datos!K17-Datos!U17)/Datos!U17,(Datos!K17+Datos!AE17-(Datos!U17+Datos!AM17))/(Datos!U17+Datos!AM17))
     ),IF(D_I="SI",(Datos!K17-Datos!U17)/Datos!U17,(Datos!K17+Datos!AE17-(Datos!U17+Datos!AM17))/(Datos!U17+Datos!AM17))," - ")</f>
        <v>-0.14643304130162704</v>
      </c>
      <c r="G17" s="348">
        <f>IF(ISNUMBER(
   IF(D_I="SI",(Datos!L17-Datos!V17)/Datos!V17,(Datos!L17+Datos!AF17-(Datos!V17+Datos!AN17))/(Datos!V17+Datos!AN17))
     ),IF(D_I="SI",(Datos!L17-Datos!V17)/Datos!V17,(Datos!L17+Datos!AF17-(Datos!V17+Datos!AN17))/(Datos!V17+Datos!AN17))," - ")</f>
        <v>-0.16178861788617885</v>
      </c>
      <c r="H17" s="229">
        <f>IF(ISNUMBER((Datos!M17-Datos!W17)/Datos!W17),(Datos!M17-Datos!W17)/Datos!W17," - ")</f>
        <v>-0.22727272727272727</v>
      </c>
      <c r="I17" s="349">
        <f>IF(ISNUMBER((Tasas!C17-Datos!BE17)/Datos!BE17),(Tasas!C17-Datos!BE17)/Datos!BE17," - ")</f>
        <v>-1.7989891042605483E-2</v>
      </c>
      <c r="J17" s="348">
        <f>IF(ISNUMBER((Tasas!D17-Datos!BF17)/Datos!BF17),(Tasas!D17-Datos!BF17)/Datos!BF17," - ")</f>
        <v>-9.4708077845907818E-2</v>
      </c>
      <c r="K17" s="350">
        <f>IF(ISNUMBER((Tasas!E17-Datos!BG17)/Datos!BG17),(Tasas!E17-Datos!BG17)/Datos!BG17," - ")</f>
        <v>-1.0905651050963316E-2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-0.89473684210526316</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-0.92307692307692313</v>
      </c>
      <c r="G18" s="348">
        <f>IF(ISNUMBER(
   IF(D_I="SI",(Datos!L18-Datos!V18)/Datos!V18,(Datos!L18+Datos!AF18-(Datos!V18+Datos!AN18))/(Datos!V18+Datos!AN18))
     ),IF(D_I="SI",(Datos!L18-Datos!V18)/Datos!V18,(Datos!L18+Datos!AF18-(Datos!V18+Datos!AN18))/(Datos!V18+Datos!AN18))," - ")</f>
        <v>-0.83333333333333337</v>
      </c>
      <c r="H18" s="229" t="str">
        <f>IF(ISNUMBER((Datos!M18-Datos!W18)/Datos!W18),(Datos!M18-Datos!W18)/Datos!W18," - ")</f>
        <v xml:space="preserve"> - </v>
      </c>
      <c r="I18" s="349">
        <f>IF(ISNUMBER((Tasas!C18-Datos!BE18)/Datos!BE18),(Tasas!C18-Datos!BE18)/Datos!BE18," - ")</f>
        <v>1.1666666666666665</v>
      </c>
      <c r="J18" s="348" t="str">
        <f>IF(ISNUMBER((Tasas!D18-Datos!BF18)/Datos!BF18),(Tasas!D18-Datos!BF18)/Datos!BF18," - ")</f>
        <v xml:space="preserve"> - </v>
      </c>
      <c r="K18" s="350">
        <f>IF(ISNUMBER((Tasas!E18-Datos!BG18)/Datos!BG18),(Tasas!E18-Datos!BG18)/Datos!BG18," - ")</f>
        <v>0.36842105263157904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-5.0949913644214161E-2</v>
      </c>
      <c r="E19" s="353">
        <f>IF(ISNUMBER(
   IF(D_I="SI",(Datos!J19-Datos!T19)/Datos!T19,(Datos!J19+Datos!AD19-(Datos!T19+Datos!AL19))/(Datos!T19+Datos!AL19))
     ),IF(D_I="SI",(Datos!J19-Datos!T19)/Datos!T19,(Datos!J19+Datos!AD19-(Datos!T19+Datos!AL19))/(Datos!T19+Datos!AL19))," - ")</f>
        <v>-0.30786516853932583</v>
      </c>
      <c r="F19" s="353">
        <f>IF(ISNUMBER(
   IF(D_I="SI",(Datos!K19-Datos!U19)/Datos!U19,(Datos!K19+Datos!AE19-(Datos!U19+Datos!AM19))/(Datos!U19+Datos!AM19))
     ),IF(D_I="SI",(Datos!K19-Datos!U19)/Datos!U19,(Datos!K19+Datos!AE19-(Datos!U19+Datos!AM19))/(Datos!U19+Datos!AM19))," - ")</f>
        <v>-0.15886699507389163</v>
      </c>
      <c r="G19" s="354">
        <f>IF(ISNUMBER(
   IF(D_I="SI",(Datos!L19-Datos!V19)/Datos!V19,(Datos!L19+Datos!AF19-(Datos!V19+Datos!AN19))/(Datos!V19+Datos!AN19))
     ),IF(D_I="SI",(Datos!L19-Datos!V19)/Datos!V19,(Datos!L19+Datos!AF19-(Datos!V19+Datos!AN19))/(Datos!V19+Datos!AN19))," - ")</f>
        <v>-0.1650485436893204</v>
      </c>
      <c r="H19" s="355">
        <f>IF(ISNUMBER((Datos!M19-Datos!W19)/Datos!W19),(Datos!M19-Datos!W19)/Datos!W19," - ")</f>
        <v>-0.22727272727272727</v>
      </c>
      <c r="I19" s="356">
        <f>IF(ISNUMBER((Tasas!C19-Datos!BE19)/Datos!BE19),(Tasas!C19-Datos!BE19)/Datos!BE19," - ")</f>
        <v>-7.349073902969472E-3</v>
      </c>
      <c r="J19" s="354">
        <f>IF(ISNUMBER((Tasas!D19-Datos!BF19)/Datos!BF19),(Tasas!D19-Datos!BF19)/Datos!BF19," - ")</f>
        <v>-8.132570211633168E-2</v>
      </c>
      <c r="K19" s="357">
        <f>IF(ISNUMBER((Tasas!E19-Datos!BG19)/Datos!BG19),(Tasas!E19-Datos!BG19)/Datos!BG19," - ")</f>
        <v>-4.4352809297218982E-3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-4.5643153526970952E-2</v>
      </c>
      <c r="E20" s="362">
        <f>IF(ISNUMBER(
   IF(J_V="SI",(Datos!J20-Datos!T20)/Datos!T20,(Datos!J20+Datos!Z20-(Datos!T20+Datos!AH20))/(Datos!T20+Datos!AH20))
     ),IF(J_V="SI",(Datos!J20-Datos!T20)/Datos!T20,(Datos!J20+Datos!Z20-(Datos!T20+Datos!AH20))/(Datos!T20+Datos!AH20))," - ")</f>
        <v>-0.17314814814814813</v>
      </c>
      <c r="F20" s="362">
        <f>IF(ISNUMBER(
   IF(J_V="SI",(Datos!K20-Datos!U20)/Datos!U20,(Datos!K20+Datos!AA20-(Datos!U20+Datos!AI20))/(Datos!U20+Datos!AI20))
     ),IF(J_V="SI",(Datos!K20-Datos!U20)/Datos!U20,(Datos!K20+Datos!AA20-(Datos!U20+Datos!AI20))/(Datos!U20+Datos!AI20))," - ")</f>
        <v>-0.27679847546450692</v>
      </c>
      <c r="G20" s="363">
        <f>IF(ISNUMBER(
   IF(J_V="SI",(Datos!L20-Datos!V20)/Datos!V20,(Datos!L20+Datos!AB20-(Datos!V20+Datos!AJ20))/(Datos!V20+Datos!AJ20))
     ),IF(J_V="SI",(Datos!L20-Datos!V20)/Datos!V20,(Datos!L20+Datos!AB20-(Datos!V20+Datos!AJ20))/(Datos!V20+Datos!AJ20))," - ")</f>
        <v>2.0459195271652648E-3</v>
      </c>
      <c r="H20" s="364">
        <f>IF(ISNUMBER((Datos!M20-Datos!W20)/Datos!W20),(Datos!M20-Datos!W20)/Datos!W20," - ")</f>
        <v>-0.30232558139534882</v>
      </c>
      <c r="I20" s="361">
        <f>IF(ISNUMBER((Tasas!C20-Datos!BE20)/Datos!BE20),(Tasas!C20-Datos!BE20)/Datos!BE20," - ")</f>
        <v>0.38556942364131735</v>
      </c>
      <c r="J20" s="362">
        <f>IF(ISNUMBER((Tasas!D20-Datos!BF20)/Datos!BF20),(Tasas!D20-Datos!BF20)/Datos!BF20," - ")</f>
        <v>-0.45129347303260348</v>
      </c>
      <c r="K20" s="363">
        <f>IF(ISNUMBER((Tasas!E20-Datos!BG20)/Datos!BG20),(Tasas!E20-Datos!BG20)/Datos!BG20," - ")</f>
        <v>0.26102183665714912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0.52340946386167186</v>
      </c>
      <c r="E22" s="277">
        <f t="shared" si="1"/>
        <v>0</v>
      </c>
      <c r="F22" s="277">
        <f t="shared" si="1"/>
        <v>0.44484962559719915</v>
      </c>
      <c r="G22" s="278">
        <f t="shared" si="1"/>
        <v>0.44018059980242302</v>
      </c>
      <c r="H22" s="284">
        <f t="shared" si="1"/>
        <v>5.8227086807476389E-2</v>
      </c>
      <c r="I22" s="276">
        <f t="shared" si="1"/>
        <v>0.50286779957607242</v>
      </c>
      <c r="J22" s="277">
        <f t="shared" si="1"/>
        <v>0.2304309779165091</v>
      </c>
      <c r="K22" s="278">
        <f t="shared" si="1"/>
        <v>0.24179562904141522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DT2e1WB6pXjXVtZAfzW2nzD98UA+SRQn/cyYls3YoFlZvEe45QqGLwwpdUbcpiG1vgPm6rME1KvMPmANFw3hQ==" saltValue="sLgSd/ulyvlYp87GlJkDM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